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54385f883b2aa71/IG/Data/"/>
    </mc:Choice>
  </mc:AlternateContent>
  <xr:revisionPtr revIDLastSave="3" documentId="8_{25D66A15-0ABB-4AA1-8C1B-832DCEAFB30E}" xr6:coauthVersionLast="47" xr6:coauthVersionMax="47" xr10:uidLastSave="{3C243C64-199A-479F-A375-65CCBD9D1D7C}"/>
  <bookViews>
    <workbookView xWindow="-120" yWindow="-120" windowWidth="29040" windowHeight="15720" xr2:uid="{00000000-000D-0000-FFFF-FFFF00000000}"/>
  </bookViews>
  <sheets>
    <sheet name="964" sheetId="8" r:id="rId1"/>
    <sheet name="993" sheetId="10" r:id="rId2"/>
    <sheet name="Ala Carte" sheetId="12" r:id="rId3"/>
    <sheet name="Powder Coat" sheetId="13" r:id="rId4"/>
  </sheets>
  <definedNames>
    <definedName name="CONDITION" localSheetId="3">#REF!</definedName>
    <definedName name="CONDITION">'993'!$F$21</definedName>
    <definedName name="ENGINE" localSheetId="3">#REF!</definedName>
    <definedName name="ENGINE">'993'!$F$16</definedName>
    <definedName name="TRANS" localSheetId="3">#REF!</definedName>
    <definedName name="TRANS">'993'!$F$11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4" i="8" l="1"/>
  <c r="H125" i="8" s="1"/>
  <c r="I120" i="8"/>
  <c r="I119" i="8"/>
  <c r="I118" i="8"/>
  <c r="I117" i="8"/>
  <c r="I116" i="8"/>
  <c r="I115" i="8"/>
  <c r="I114" i="8"/>
  <c r="I113" i="8"/>
  <c r="I112" i="8"/>
  <c r="I111" i="8"/>
  <c r="I110" i="8"/>
  <c r="I109" i="8"/>
  <c r="K121" i="8" s="1"/>
  <c r="F121" i="8"/>
  <c r="G121" i="8"/>
  <c r="F122" i="8"/>
  <c r="K119" i="12"/>
  <c r="K118" i="12"/>
  <c r="K117" i="12"/>
  <c r="K116" i="12"/>
  <c r="K115" i="12"/>
  <c r="K114" i="12"/>
  <c r="K113" i="12"/>
  <c r="K112" i="12"/>
  <c r="L120" i="12" s="1"/>
  <c r="K111" i="12"/>
  <c r="K110" i="12"/>
  <c r="K109" i="12"/>
  <c r="K108" i="12"/>
  <c r="J109" i="12"/>
  <c r="J110" i="12"/>
  <c r="J111" i="12"/>
  <c r="J112" i="12"/>
  <c r="J113" i="12"/>
  <c r="J114" i="12"/>
  <c r="J115" i="12"/>
  <c r="J116" i="12"/>
  <c r="J117" i="12"/>
  <c r="J118" i="12"/>
  <c r="J119" i="12"/>
  <c r="J108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E120" i="12"/>
  <c r="E121" i="12"/>
  <c r="E122" i="12"/>
  <c r="E123" i="12"/>
  <c r="E124" i="12"/>
  <c r="E125" i="12"/>
  <c r="E126" i="12"/>
  <c r="E127" i="12"/>
  <c r="E128" i="12"/>
  <c r="E129" i="12"/>
  <c r="E130" i="12"/>
  <c r="K64" i="12" l="1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I69" i="12"/>
  <c r="J69" i="12" s="1"/>
  <c r="C69" i="12"/>
  <c r="I86" i="10"/>
  <c r="I87" i="10"/>
  <c r="I88" i="10"/>
  <c r="I89" i="10"/>
  <c r="I90" i="10"/>
  <c r="I91" i="10"/>
  <c r="I92" i="10"/>
  <c r="I93" i="10"/>
  <c r="I94" i="10"/>
  <c r="C79" i="10"/>
  <c r="H139" i="10"/>
  <c r="J104" i="12"/>
  <c r="J89" i="12"/>
  <c r="J90" i="12"/>
  <c r="J91" i="12"/>
  <c r="J92" i="12"/>
  <c r="E93" i="12"/>
  <c r="J93" i="12"/>
  <c r="J94" i="12"/>
  <c r="E95" i="12"/>
  <c r="J95" i="12"/>
  <c r="J96" i="12"/>
  <c r="J97" i="12"/>
  <c r="J98" i="12"/>
  <c r="J100" i="12"/>
  <c r="J101" i="12"/>
  <c r="J102" i="12"/>
  <c r="J103" i="12"/>
  <c r="E105" i="12"/>
  <c r="E106" i="12"/>
  <c r="E107" i="12"/>
  <c r="F120" i="12" s="1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J124" i="12"/>
  <c r="L125" i="12" s="1"/>
  <c r="J121" i="12"/>
  <c r="E87" i="12"/>
  <c r="E86" i="12"/>
  <c r="E85" i="12"/>
  <c r="K84" i="12"/>
  <c r="E84" i="12"/>
  <c r="E83" i="12"/>
  <c r="E82" i="12"/>
  <c r="E81" i="12"/>
  <c r="E80" i="12"/>
  <c r="J79" i="12"/>
  <c r="J78" i="12"/>
  <c r="J77" i="12"/>
  <c r="E77" i="12"/>
  <c r="E75" i="12"/>
  <c r="J74" i="12"/>
  <c r="E74" i="12"/>
  <c r="J73" i="12"/>
  <c r="E73" i="12"/>
  <c r="J72" i="12"/>
  <c r="E72" i="12"/>
  <c r="J71" i="12"/>
  <c r="J70" i="12"/>
  <c r="E70" i="12"/>
  <c r="J67" i="12"/>
  <c r="I66" i="12"/>
  <c r="J65" i="12"/>
  <c r="I64" i="12"/>
  <c r="K63" i="12"/>
  <c r="J63" i="12"/>
  <c r="E63" i="12"/>
  <c r="E62" i="12"/>
  <c r="E60" i="12"/>
  <c r="K59" i="12"/>
  <c r="J59" i="12"/>
  <c r="E59" i="12"/>
  <c r="K58" i="12"/>
  <c r="J58" i="12"/>
  <c r="E58" i="12"/>
  <c r="K57" i="12"/>
  <c r="J57" i="12"/>
  <c r="E57" i="12"/>
  <c r="K56" i="12"/>
  <c r="K55" i="12"/>
  <c r="E55" i="12"/>
  <c r="K54" i="12"/>
  <c r="E54" i="12"/>
  <c r="K53" i="12"/>
  <c r="J53" i="12"/>
  <c r="E53" i="12"/>
  <c r="K52" i="12"/>
  <c r="E52" i="12"/>
  <c r="K50" i="12"/>
  <c r="E50" i="12"/>
  <c r="K49" i="12"/>
  <c r="F49" i="12"/>
  <c r="K48" i="12"/>
  <c r="J48" i="12"/>
  <c r="E48" i="12"/>
  <c r="K47" i="12"/>
  <c r="J47" i="12"/>
  <c r="E47" i="12"/>
  <c r="K46" i="12"/>
  <c r="J46" i="12"/>
  <c r="E46" i="12"/>
  <c r="E45" i="12"/>
  <c r="E44" i="12"/>
  <c r="G43" i="12"/>
  <c r="D43" i="12"/>
  <c r="E42" i="12"/>
  <c r="K41" i="12"/>
  <c r="H41" i="12"/>
  <c r="I41" i="12" s="1"/>
  <c r="J41" i="12" s="1"/>
  <c r="E41" i="12"/>
  <c r="K40" i="12"/>
  <c r="H40" i="12"/>
  <c r="I40" i="12" s="1"/>
  <c r="J40" i="12" s="1"/>
  <c r="E40" i="12"/>
  <c r="K39" i="12"/>
  <c r="H39" i="12"/>
  <c r="I39" i="12" s="1"/>
  <c r="J39" i="12" s="1"/>
  <c r="E39" i="12"/>
  <c r="K38" i="12"/>
  <c r="J38" i="12"/>
  <c r="K37" i="12"/>
  <c r="E37" i="12"/>
  <c r="K35" i="12"/>
  <c r="H35" i="12"/>
  <c r="I35" i="12" s="1"/>
  <c r="J35" i="12" s="1"/>
  <c r="K34" i="12"/>
  <c r="J34" i="12"/>
  <c r="E34" i="12"/>
  <c r="K33" i="12"/>
  <c r="I33" i="12"/>
  <c r="E33" i="12"/>
  <c r="K32" i="12"/>
  <c r="K31" i="12"/>
  <c r="H31" i="12"/>
  <c r="I31" i="12" s="1"/>
  <c r="J31" i="12" s="1"/>
  <c r="K30" i="12"/>
  <c r="H30" i="12"/>
  <c r="I30" i="12" s="1"/>
  <c r="J30" i="12" s="1"/>
  <c r="E30" i="12"/>
  <c r="K29" i="12"/>
  <c r="H29" i="12"/>
  <c r="I29" i="12" s="1"/>
  <c r="J29" i="12" s="1"/>
  <c r="E29" i="12"/>
  <c r="K28" i="12"/>
  <c r="J28" i="12"/>
  <c r="E28" i="12"/>
  <c r="K27" i="12"/>
  <c r="I27" i="12"/>
  <c r="E27" i="12"/>
  <c r="K26" i="12"/>
  <c r="E26" i="12"/>
  <c r="E25" i="12"/>
  <c r="K24" i="12"/>
  <c r="J24" i="12"/>
  <c r="K23" i="12"/>
  <c r="H23" i="12"/>
  <c r="E23" i="12"/>
  <c r="K22" i="12"/>
  <c r="E22" i="12"/>
  <c r="K21" i="12"/>
  <c r="H21" i="12"/>
  <c r="I21" i="12" s="1"/>
  <c r="J21" i="12" s="1"/>
  <c r="E21" i="12"/>
  <c r="K20" i="12"/>
  <c r="H20" i="12"/>
  <c r="I20" i="12" s="1"/>
  <c r="J20" i="12" s="1"/>
  <c r="E20" i="12"/>
  <c r="K19" i="12"/>
  <c r="H19" i="12"/>
  <c r="I19" i="12" s="1"/>
  <c r="J19" i="12" s="1"/>
  <c r="E19" i="12"/>
  <c r="K18" i="12"/>
  <c r="H18" i="12"/>
  <c r="J18" i="12" s="1"/>
  <c r="E18" i="12"/>
  <c r="K17" i="12"/>
  <c r="I17" i="12"/>
  <c r="E17" i="12"/>
  <c r="K16" i="12"/>
  <c r="E16" i="12"/>
  <c r="K15" i="12"/>
  <c r="H15" i="12"/>
  <c r="I15" i="12" s="1"/>
  <c r="J15" i="12" s="1"/>
  <c r="E15" i="12"/>
  <c r="K14" i="12"/>
  <c r="H14" i="12"/>
  <c r="I14" i="12" s="1"/>
  <c r="J14" i="12" s="1"/>
  <c r="E14" i="12"/>
  <c r="K13" i="12"/>
  <c r="H13" i="12"/>
  <c r="I13" i="12" s="1"/>
  <c r="J13" i="12" s="1"/>
  <c r="E13" i="12"/>
  <c r="K12" i="12"/>
  <c r="H12" i="12"/>
  <c r="E12" i="12"/>
  <c r="F106" i="12" l="1"/>
  <c r="F126" i="12"/>
  <c r="F60" i="12"/>
  <c r="F16" i="12"/>
  <c r="F42" i="12"/>
  <c r="K60" i="12"/>
  <c r="F85" i="12"/>
  <c r="F26" i="12"/>
  <c r="K85" i="12"/>
  <c r="F22" i="12"/>
  <c r="F33" i="12"/>
  <c r="H43" i="12"/>
  <c r="I12" i="12"/>
  <c r="J12" i="12" s="1"/>
  <c r="J43" i="12" s="1"/>
  <c r="L106" i="12"/>
  <c r="K43" i="12"/>
  <c r="I43" i="12"/>
  <c r="L86" i="12" l="1"/>
  <c r="L127" i="12" s="1"/>
  <c r="F43" i="12"/>
  <c r="I12" i="8" l="1"/>
  <c r="J12" i="8"/>
  <c r="B126" i="8"/>
  <c r="B127" i="8" s="1"/>
  <c r="B128" i="8" s="1"/>
  <c r="I123" i="8"/>
  <c r="H140" i="10"/>
  <c r="H143" i="10" s="1"/>
  <c r="H142" i="10"/>
  <c r="H141" i="10"/>
  <c r="H144" i="10" s="1"/>
  <c r="B14" i="10"/>
  <c r="B12" i="10"/>
  <c r="I124" i="8" l="1"/>
  <c r="H146" i="10"/>
  <c r="H145" i="10"/>
  <c r="I61" i="10"/>
  <c r="I62" i="10"/>
  <c r="I66" i="10"/>
  <c r="I67" i="10"/>
  <c r="I68" i="10"/>
  <c r="I69" i="10"/>
  <c r="F21" i="10"/>
  <c r="F16" i="10"/>
  <c r="B145" i="10" l="1"/>
  <c r="I145" i="10" s="1"/>
  <c r="B144" i="10"/>
  <c r="I144" i="10" s="1"/>
  <c r="B146" i="10"/>
  <c r="I146" i="10" s="1"/>
  <c r="B143" i="10"/>
  <c r="I143" i="10" s="1"/>
  <c r="B141" i="10"/>
  <c r="B142" i="10"/>
  <c r="I142" i="10" s="1"/>
  <c r="B64" i="10"/>
  <c r="B140" i="10"/>
  <c r="I140" i="10" s="1"/>
  <c r="B139" i="10"/>
  <c r="I139" i="10" s="1"/>
  <c r="B138" i="10"/>
  <c r="I138" i="10" s="1"/>
  <c r="B65" i="10"/>
  <c r="I65" i="10" s="1"/>
  <c r="B63" i="10"/>
  <c r="B149" i="10" l="1"/>
  <c r="I141" i="10"/>
  <c r="B74" i="10"/>
  <c r="I63" i="10"/>
  <c r="I64" i="10"/>
  <c r="B75" i="10" l="1"/>
  <c r="B76" i="10"/>
  <c r="K151" i="10" l="1"/>
  <c r="I125" i="8"/>
  <c r="K129" i="8" s="1"/>
  <c r="C88" i="10"/>
  <c r="F88" i="10"/>
  <c r="H88" i="10"/>
  <c r="I71" i="8"/>
  <c r="C86" i="10"/>
  <c r="F86" i="10"/>
  <c r="H86" i="10"/>
  <c r="C87" i="10"/>
  <c r="F87" i="10"/>
  <c r="H87" i="10"/>
  <c r="I69" i="8"/>
  <c r="I70" i="8"/>
  <c r="I72" i="8"/>
  <c r="I73" i="8"/>
  <c r="I74" i="8"/>
  <c r="I75" i="8"/>
  <c r="I125" i="10"/>
  <c r="I127" i="10"/>
  <c r="I129" i="10"/>
  <c r="I130" i="10"/>
  <c r="I131" i="10"/>
  <c r="I134" i="10"/>
  <c r="I135" i="10"/>
  <c r="I128" i="10"/>
  <c r="I95" i="10"/>
  <c r="I96" i="10"/>
  <c r="I98" i="10"/>
  <c r="I100" i="10"/>
  <c r="I101" i="10"/>
  <c r="I102" i="10"/>
  <c r="I103" i="10"/>
  <c r="I104" i="10"/>
  <c r="I105" i="10"/>
  <c r="I79" i="10"/>
  <c r="I80" i="10"/>
  <c r="I81" i="10"/>
  <c r="I82" i="10"/>
  <c r="I83" i="10"/>
  <c r="I84" i="10"/>
  <c r="I65" i="8"/>
  <c r="I66" i="8"/>
  <c r="I67" i="8"/>
  <c r="F65" i="8"/>
  <c r="B12" i="8"/>
  <c r="B34" i="8" s="1"/>
  <c r="F34" i="8" s="1"/>
  <c r="C95" i="10"/>
  <c r="F95" i="10"/>
  <c r="H95" i="10"/>
  <c r="I76" i="8"/>
  <c r="E54" i="10"/>
  <c r="F54" i="10" s="1"/>
  <c r="D28" i="10"/>
  <c r="E17" i="8"/>
  <c r="D29" i="10"/>
  <c r="E29" i="10"/>
  <c r="D30" i="10"/>
  <c r="E30" i="10"/>
  <c r="F20" i="8"/>
  <c r="D32" i="10"/>
  <c r="D33" i="10"/>
  <c r="E33" i="10"/>
  <c r="D34" i="10"/>
  <c r="D35" i="10"/>
  <c r="D36" i="10"/>
  <c r="D39" i="10"/>
  <c r="D41" i="10"/>
  <c r="D42" i="10"/>
  <c r="E42" i="10"/>
  <c r="D44" i="10"/>
  <c r="E33" i="8"/>
  <c r="D45" i="10"/>
  <c r="E45" i="10"/>
  <c r="D46" i="10"/>
  <c r="E46" i="10"/>
  <c r="D49" i="10"/>
  <c r="D50" i="10"/>
  <c r="E50" i="10"/>
  <c r="D51" i="10"/>
  <c r="D55" i="10"/>
  <c r="D56" i="10"/>
  <c r="E45" i="8"/>
  <c r="D57" i="10"/>
  <c r="E46" i="8"/>
  <c r="D27" i="10"/>
  <c r="C57" i="10"/>
  <c r="C56" i="10"/>
  <c r="C55" i="10"/>
  <c r="C51" i="10"/>
  <c r="C50" i="10"/>
  <c r="C49" i="10"/>
  <c r="C46" i="10"/>
  <c r="C45" i="10"/>
  <c r="C44" i="10"/>
  <c r="C43" i="10"/>
  <c r="C42" i="10"/>
  <c r="C41" i="10"/>
  <c r="C36" i="10"/>
  <c r="C35" i="10"/>
  <c r="C34" i="10"/>
  <c r="C33" i="10"/>
  <c r="C32" i="10"/>
  <c r="C28" i="10"/>
  <c r="C29" i="10"/>
  <c r="C30" i="10"/>
  <c r="C27" i="10"/>
  <c r="B39" i="10"/>
  <c r="B27" i="10"/>
  <c r="E16" i="8"/>
  <c r="B14" i="8"/>
  <c r="B22" i="8" s="1"/>
  <c r="F17" i="8"/>
  <c r="F18" i="8"/>
  <c r="F19" i="8"/>
  <c r="E21" i="8"/>
  <c r="B11" i="8"/>
  <c r="B33" i="8" s="1"/>
  <c r="F33" i="8" s="1"/>
  <c r="B13" i="8"/>
  <c r="E23" i="8"/>
  <c r="F23" i="8"/>
  <c r="E24" i="8"/>
  <c r="F24" i="8"/>
  <c r="E25" i="8"/>
  <c r="F25" i="8"/>
  <c r="F26" i="8"/>
  <c r="E27" i="8"/>
  <c r="F27" i="8"/>
  <c r="B28" i="8"/>
  <c r="F28" i="8" s="1"/>
  <c r="E28" i="8"/>
  <c r="F29" i="8"/>
  <c r="E30" i="8"/>
  <c r="D32" i="8"/>
  <c r="E38" i="8"/>
  <c r="E40" i="8"/>
  <c r="F40" i="8"/>
  <c r="F41" i="8"/>
  <c r="F42" i="8"/>
  <c r="E43" i="8"/>
  <c r="F43" i="8"/>
  <c r="E44" i="8"/>
  <c r="F44" i="8"/>
  <c r="F45" i="8"/>
  <c r="F46" i="8"/>
  <c r="F47" i="8"/>
  <c r="F49" i="8"/>
  <c r="F50" i="8"/>
  <c r="F51" i="8"/>
  <c r="F52" i="8"/>
  <c r="F53" i="8"/>
  <c r="F54" i="8"/>
  <c r="F55" i="8"/>
  <c r="F56" i="8"/>
  <c r="F57" i="8"/>
  <c r="F58" i="8"/>
  <c r="F59" i="8"/>
  <c r="F62" i="8"/>
  <c r="F63" i="8"/>
  <c r="F64" i="8"/>
  <c r="F68" i="8"/>
  <c r="F72" i="8"/>
  <c r="F73" i="8"/>
  <c r="F75" i="8"/>
  <c r="F77" i="8"/>
  <c r="F78" i="8"/>
  <c r="F79" i="8"/>
  <c r="F87" i="8"/>
  <c r="F88" i="8"/>
  <c r="F89" i="8"/>
  <c r="F90" i="8"/>
  <c r="F93" i="8"/>
  <c r="F96" i="8"/>
  <c r="F101" i="8"/>
  <c r="F106" i="8"/>
  <c r="G106" i="8"/>
  <c r="F108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H74" i="8"/>
  <c r="I92" i="8"/>
  <c r="I93" i="8"/>
  <c r="I94" i="8"/>
  <c r="I95" i="8"/>
  <c r="I96" i="8"/>
  <c r="I91" i="8"/>
  <c r="I97" i="8"/>
  <c r="I98" i="8"/>
  <c r="I99" i="8"/>
  <c r="I100" i="8"/>
  <c r="I101" i="8"/>
  <c r="I102" i="8"/>
  <c r="I103" i="8"/>
  <c r="I104" i="8"/>
  <c r="I105" i="8"/>
  <c r="I77" i="8"/>
  <c r="I78" i="8"/>
  <c r="I68" i="8"/>
  <c r="I79" i="8"/>
  <c r="I80" i="8"/>
  <c r="I81" i="8"/>
  <c r="I82" i="8"/>
  <c r="I83" i="8"/>
  <c r="I84" i="8"/>
  <c r="I85" i="8"/>
  <c r="I86" i="8"/>
  <c r="I111" i="10"/>
  <c r="I110" i="10"/>
  <c r="I112" i="10"/>
  <c r="I113" i="10"/>
  <c r="I114" i="10"/>
  <c r="I115" i="10"/>
  <c r="I116" i="10"/>
  <c r="I117" i="10"/>
  <c r="H118" i="10"/>
  <c r="I118" i="10" s="1"/>
  <c r="I119" i="10"/>
  <c r="H120" i="10"/>
  <c r="I120" i="10"/>
  <c r="I121" i="10"/>
  <c r="K140" i="8"/>
  <c r="K162" i="10"/>
  <c r="H115" i="10"/>
  <c r="H116" i="10"/>
  <c r="H117" i="10"/>
  <c r="H119" i="10"/>
  <c r="H121" i="10"/>
  <c r="F164" i="10"/>
  <c r="F163" i="10"/>
  <c r="F162" i="10"/>
  <c r="F161" i="10"/>
  <c r="H91" i="10"/>
  <c r="H85" i="10"/>
  <c r="I85" i="10" s="1"/>
  <c r="H79" i="10"/>
  <c r="H71" i="10"/>
  <c r="I71" i="10" s="1"/>
  <c r="H70" i="10"/>
  <c r="I70" i="10" s="1"/>
  <c r="I75" i="10"/>
  <c r="B148" i="10"/>
  <c r="F123" i="10"/>
  <c r="H99" i="10"/>
  <c r="I99" i="10" s="1"/>
  <c r="H98" i="10"/>
  <c r="H97" i="10"/>
  <c r="I97" i="10" s="1"/>
  <c r="C98" i="10"/>
  <c r="C99" i="10"/>
  <c r="C97" i="10"/>
  <c r="C94" i="10"/>
  <c r="C93" i="10"/>
  <c r="C92" i="10"/>
  <c r="C91" i="10"/>
  <c r="C85" i="10"/>
  <c r="C71" i="10"/>
  <c r="C70" i="10"/>
  <c r="B60" i="8"/>
  <c r="C62" i="10"/>
  <c r="H92" i="10"/>
  <c r="H94" i="10"/>
  <c r="F118" i="10"/>
  <c r="F114" i="10"/>
  <c r="F112" i="10"/>
  <c r="F98" i="10"/>
  <c r="F97" i="10"/>
  <c r="F79" i="10"/>
  <c r="F85" i="10"/>
  <c r="F91" i="10"/>
  <c r="F92" i="10"/>
  <c r="F94" i="10"/>
  <c r="F96" i="10"/>
  <c r="H61" i="10"/>
  <c r="C61" i="10"/>
  <c r="I153" i="10"/>
  <c r="I154" i="10"/>
  <c r="I156" i="10"/>
  <c r="I157" i="10"/>
  <c r="I124" i="10"/>
  <c r="I135" i="8"/>
  <c r="I131" i="8"/>
  <c r="I51" i="8"/>
  <c r="I52" i="8"/>
  <c r="I55" i="8"/>
  <c r="F106" i="10"/>
  <c r="F107" i="10"/>
  <c r="F108" i="10"/>
  <c r="F150" i="10"/>
  <c r="F151" i="10"/>
  <c r="F109" i="10"/>
  <c r="F122" i="10"/>
  <c r="F136" i="10"/>
  <c r="F152" i="10"/>
  <c r="F153" i="10"/>
  <c r="F154" i="10"/>
  <c r="F155" i="10"/>
  <c r="F156" i="10"/>
  <c r="F157" i="10"/>
  <c r="F158" i="10"/>
  <c r="F59" i="10"/>
  <c r="F60" i="10"/>
  <c r="F61" i="10"/>
  <c r="F63" i="10"/>
  <c r="F66" i="10"/>
  <c r="F67" i="10"/>
  <c r="F71" i="10"/>
  <c r="F159" i="10"/>
  <c r="F160" i="10"/>
  <c r="I132" i="8"/>
  <c r="I133" i="8"/>
  <c r="I134" i="8"/>
  <c r="I56" i="8"/>
  <c r="I57" i="8"/>
  <c r="H60" i="8" s="1"/>
  <c r="I53" i="8"/>
  <c r="I54" i="8"/>
  <c r="K106" i="8" l="1"/>
  <c r="F56" i="10"/>
  <c r="F32" i="8"/>
  <c r="B21" i="8"/>
  <c r="F21" i="8" s="1"/>
  <c r="F32" i="10" s="1"/>
  <c r="F40" i="10"/>
  <c r="B30" i="8"/>
  <c r="F30" i="8" s="1"/>
  <c r="F41" i="10" s="1"/>
  <c r="F57" i="10"/>
  <c r="F28" i="10"/>
  <c r="F55" i="10"/>
  <c r="H93" i="10"/>
  <c r="B35" i="8"/>
  <c r="F35" i="8" s="1"/>
  <c r="K136" i="8"/>
  <c r="B16" i="8"/>
  <c r="F16" i="8" s="1"/>
  <c r="K122" i="10"/>
  <c r="E51" i="10"/>
  <c r="D43" i="10"/>
  <c r="E39" i="10"/>
  <c r="F37" i="10"/>
  <c r="F30" i="10"/>
  <c r="E57" i="10"/>
  <c r="E49" i="10"/>
  <c r="E41" i="10"/>
  <c r="F39" i="10"/>
  <c r="F36" i="10"/>
  <c r="E35" i="10"/>
  <c r="F29" i="10"/>
  <c r="E27" i="10"/>
  <c r="E44" i="10"/>
  <c r="F31" i="10"/>
  <c r="E55" i="10"/>
  <c r="E36" i="10"/>
  <c r="F34" i="10"/>
  <c r="E56" i="10"/>
  <c r="E28" i="10"/>
  <c r="F51" i="10"/>
  <c r="E32" i="8"/>
  <c r="E38" i="10"/>
  <c r="F35" i="10"/>
  <c r="E34" i="10"/>
  <c r="E32" i="10"/>
  <c r="H74" i="10"/>
  <c r="I74" i="10" s="1"/>
  <c r="G106" i="10"/>
  <c r="I60" i="8"/>
  <c r="B61" i="8" s="1"/>
  <c r="I61" i="8" s="1"/>
  <c r="K158" i="10"/>
  <c r="G72" i="10"/>
  <c r="G47" i="8"/>
  <c r="J87" i="8"/>
  <c r="J58" i="8"/>
  <c r="G122" i="10"/>
  <c r="G136" i="10"/>
  <c r="G58" i="8"/>
  <c r="G29" i="8"/>
  <c r="F38" i="10"/>
  <c r="J106" i="10"/>
  <c r="K136" i="10"/>
  <c r="I76" i="10"/>
  <c r="F22" i="8"/>
  <c r="B39" i="8"/>
  <c r="F39" i="8" s="1"/>
  <c r="F45" i="10"/>
  <c r="F44" i="10"/>
  <c r="B46" i="10"/>
  <c r="B33" i="10"/>
  <c r="B13" i="10"/>
  <c r="B11" i="10"/>
  <c r="B45" i="10"/>
  <c r="B44" i="10" l="1"/>
  <c r="F11" i="10"/>
  <c r="B38" i="8"/>
  <c r="F38" i="8" s="1"/>
  <c r="G41" i="8" s="1"/>
  <c r="B31" i="8"/>
  <c r="F31" i="8" s="1"/>
  <c r="G36" i="8" s="1"/>
  <c r="F43" i="10"/>
  <c r="G26" i="8"/>
  <c r="F46" i="10"/>
  <c r="G20" i="8"/>
  <c r="J62" i="8"/>
  <c r="E48" i="8"/>
  <c r="F27" i="10"/>
  <c r="G31" i="10" s="1"/>
  <c r="G40" i="10"/>
  <c r="J72" i="10"/>
  <c r="E43" i="10"/>
  <c r="E58" i="10" s="1"/>
  <c r="J77" i="10"/>
  <c r="F50" i="10"/>
  <c r="F33" i="10"/>
  <c r="B50" i="10"/>
  <c r="B32" i="10"/>
  <c r="B49" i="10" s="1"/>
  <c r="B41" i="10"/>
  <c r="B42" i="10" s="1"/>
  <c r="F49" i="10" l="1"/>
  <c r="G52" i="10" s="1"/>
  <c r="F48" i="8"/>
  <c r="G138" i="8" s="1"/>
  <c r="F42" i="10"/>
  <c r="G48" i="8"/>
  <c r="J48" i="8" s="1"/>
  <c r="G37" i="10"/>
  <c r="F58" i="10" l="1"/>
  <c r="J58" i="10" s="1"/>
  <c r="K107" i="10" s="1"/>
  <c r="K160" i="10" s="1"/>
  <c r="K163" i="10" s="1"/>
  <c r="K169" i="10" s="1"/>
  <c r="J9" i="10" s="1"/>
  <c r="G47" i="10"/>
  <c r="K88" i="8"/>
  <c r="K138" i="8" s="1"/>
  <c r="G160" i="10" l="1"/>
  <c r="K141" i="8"/>
  <c r="K147" i="8" s="1"/>
  <c r="K8" i="8"/>
</calcChain>
</file>

<file path=xl/sharedStrings.xml><?xml version="1.0" encoding="utf-8"?>
<sst xmlns="http://schemas.openxmlformats.org/spreadsheetml/2006/main" count="437" uniqueCount="237">
  <si>
    <t>Stud Kit</t>
  </si>
  <si>
    <t>Spacer and bolt kit</t>
  </si>
  <si>
    <t>Wiring Harness</t>
  </si>
  <si>
    <t>Flywheel Kit</t>
  </si>
  <si>
    <t>Fuel Line - filter to Injection</t>
  </si>
  <si>
    <t>Modified Sheet Metal</t>
  </si>
  <si>
    <t>Modified Cross Member</t>
  </si>
  <si>
    <t>Throttle Cable</t>
  </si>
  <si>
    <t>9 FW bolts</t>
  </si>
  <si>
    <t>1 pilot bearing</t>
  </si>
  <si>
    <t>DME Relay</t>
  </si>
  <si>
    <t>Fuel System</t>
  </si>
  <si>
    <t>9 Clutch Bolts/Lockwashers</t>
  </si>
  <si>
    <t>373 West Chestnut Hill Road</t>
  </si>
  <si>
    <t>Flywheel for 3.6 conversion - 915</t>
  </si>
  <si>
    <t>Single Pulley Alternator Conversion</t>
  </si>
  <si>
    <t>Fuel Line - to filter Inlet -w- barb connector  (Early cars only)</t>
  </si>
  <si>
    <t>993 Coil Braket - Welded Option</t>
  </si>
  <si>
    <t xml:space="preserve">New Bosch Motronic Fuel Pump Early car </t>
  </si>
  <si>
    <t>Call Ahead Surcharge</t>
  </si>
  <si>
    <t>Liftgate Surcharge</t>
  </si>
  <si>
    <t>Shipping</t>
  </si>
  <si>
    <t>Option Pack Discounts</t>
  </si>
  <si>
    <t>Popular Options</t>
  </si>
  <si>
    <t>More Options</t>
  </si>
  <si>
    <t>Engines</t>
  </si>
  <si>
    <t>Exhausts</t>
  </si>
  <si>
    <t>993 K&amp;N Filter (Specify if VRAM Temp Hole)</t>
  </si>
  <si>
    <t>Total Conversion Kit and Options</t>
  </si>
  <si>
    <t>Engine Cost</t>
  </si>
  <si>
    <t>Exhaust Cost</t>
  </si>
  <si>
    <t>Conversion Kit Cost</t>
  </si>
  <si>
    <t>Purchace Chips with kit</t>
  </si>
  <si>
    <t>Instant-G</t>
  </si>
  <si>
    <t>Porsche Performance Specialists</t>
  </si>
  <si>
    <t>911 3.6 and Boxster 3.4 Conversions</t>
  </si>
  <si>
    <t>Newark DE 19713</t>
  </si>
  <si>
    <t>(302)559-5905</t>
  </si>
  <si>
    <r>
      <t>E-mail:</t>
    </r>
    <r>
      <rPr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timmins@instant-g.com</t>
    </r>
    <r>
      <rPr>
        <b/>
        <sz val="12"/>
        <rFont val="Times New Roman"/>
        <family val="1"/>
      </rPr>
      <t xml:space="preserve"> </t>
    </r>
  </si>
  <si>
    <t>www.instant-g.com</t>
  </si>
  <si>
    <t>964 based 3.6 Conversion Estimator</t>
  </si>
  <si>
    <t>Customer Added Options</t>
  </si>
  <si>
    <t>Distributor Breather Hose Kit</t>
  </si>
  <si>
    <t>Kit Shipping -  by quote</t>
  </si>
  <si>
    <t>Total Shipping</t>
  </si>
  <si>
    <t>Purchace Chips with Engine</t>
  </si>
  <si>
    <t>Phone</t>
  </si>
  <si>
    <t>email</t>
  </si>
  <si>
    <t>Address - Street</t>
  </si>
  <si>
    <t>City/State/Zip</t>
  </si>
  <si>
    <t>Oil Cooling</t>
  </si>
  <si>
    <t>Engine Shipping -  by quote</t>
  </si>
  <si>
    <t>Includes Engine to DME wiring harness</t>
  </si>
  <si>
    <t>Includes DME</t>
  </si>
  <si>
    <t>Includes Engine to DME wiring Harness</t>
  </si>
  <si>
    <t>Residential Surcharge</t>
  </si>
  <si>
    <t>Engine Shipping - by quote</t>
  </si>
  <si>
    <t>Oil Cooling Cost</t>
  </si>
  <si>
    <t xml:space="preserve">IG Stainless Exhaust, 1-3/4" headers -w- heat and muffler </t>
  </si>
  <si>
    <t>IG Headers, 304 Stainless, 1-3/4" primary, 2.5" out, no heat</t>
  </si>
  <si>
    <t>Happy Crab II Muffler, includes resonator tips</t>
  </si>
  <si>
    <t xml:space="preserve">     Upgrade IG from 1-3/4" to 1-7/8" Primary Tubing  </t>
  </si>
  <si>
    <t xml:space="preserve">     Add Stainless Resonator Tips to IG Stainless Exhaust</t>
  </si>
  <si>
    <t xml:space="preserve">     Add Catalysts to IG Exhaust, 200 cell</t>
  </si>
  <si>
    <t xml:space="preserve">     Add Catalyst plus cat bypass tube to IG Exhaust, 200 cell</t>
  </si>
  <si>
    <t>993 Popular Options Discount</t>
  </si>
  <si>
    <t>RS Crab - 993 Heater Ducting Assembly, cap hoses and adapters</t>
  </si>
  <si>
    <t>OBD Connector on 993 harness</t>
  </si>
  <si>
    <t>964 Wiring harness with DME relay connector</t>
  </si>
  <si>
    <r>
      <t xml:space="preserve">Flywheel for 3.6 conversion - G50 </t>
    </r>
    <r>
      <rPr>
        <b/>
        <sz val="10"/>
        <rFont val="Arial"/>
        <family val="2"/>
      </rPr>
      <t>with sensor pickup</t>
    </r>
    <r>
      <rPr>
        <sz val="10"/>
        <rFont val="Arial"/>
        <family val="2"/>
      </rPr>
      <t xml:space="preserve"> (Adds $200, with or without RS clutch kit)</t>
    </r>
  </si>
  <si>
    <t>915 Throttle cable assembly, with adjustable guide</t>
  </si>
  <si>
    <t>G50 Throttle cable assembly, with adjustable guide</t>
  </si>
  <si>
    <t>964 Oil Feed Line, stainless steel</t>
  </si>
  <si>
    <t>Oil Lines</t>
  </si>
  <si>
    <t>Factory Scavenge Oil SSI Line 2 (J)         "?"  to thermostat</t>
  </si>
  <si>
    <t>Factory Scavenge Oil SSI Line 1 (?)       Engine Case to "J" Line</t>
  </si>
  <si>
    <t>Sheetmetal Modification (No cost option -w- kit)</t>
  </si>
  <si>
    <t>Crossmember reshaped, reinforced, strengthened (supply core)</t>
  </si>
  <si>
    <t>Belcrank - Modified (supply core, no cost option -w- kit)</t>
  </si>
  <si>
    <t>Early Car Fuel Line Kit, 22' braided AN hose, 1 banjo -w- nut and crush rings, 3-16mm ball, 1-14mm ball 1-14bAN6+AN6-90, NET UPGRADE- Uses early SC filter</t>
  </si>
  <si>
    <t>915 Starter Ring Gear</t>
  </si>
  <si>
    <t>Replacement Factory Fan Belt</t>
  </si>
  <si>
    <t xml:space="preserve">Gates "Green Stripe" / Napa XL extreme duty belt - reccomended </t>
  </si>
  <si>
    <t>Oxygen Sensor - 964 Bosch 3 wire</t>
  </si>
  <si>
    <t>Heater hoses, clamps and adapters for 993 Header</t>
  </si>
  <si>
    <t>993 System, Rotated Flanges Complete -w- Happy Crab II                                                                             (heater plumbing additional)</t>
  </si>
  <si>
    <t>Happy Crab RS outlet option, 69-73 cars</t>
  </si>
  <si>
    <t>PS Blockoff Includes 993 sheetmetal blockoff template</t>
  </si>
  <si>
    <t>Modify AC Bracket (No cost option with popular options)</t>
  </si>
  <si>
    <t>Oxegen Sensor - 993 4 wire (Specify before/after cat)</t>
  </si>
  <si>
    <t>95/Euro Includes Ignition Ignitor</t>
  </si>
  <si>
    <t>Includes Coil packs with coil wires, brackets and ignitors</t>
  </si>
  <si>
    <t>G50 Cup RS Sachs Clutch Kit for 87-89 upgrade</t>
  </si>
  <si>
    <t>CF Heater Tube</t>
  </si>
  <si>
    <t>Paypal Fee 3%</t>
  </si>
  <si>
    <t>Total</t>
  </si>
  <si>
    <t>Payments Received</t>
  </si>
  <si>
    <t>Balance Due</t>
  </si>
  <si>
    <t>1984-86</t>
  </si>
  <si>
    <t>1987-1989</t>
  </si>
  <si>
    <t>Pre 1973</t>
  </si>
  <si>
    <t>3 short studs, 4 10mm nuts, 4 10mm washers</t>
  </si>
  <si>
    <t>2 fabricated spacers, 2 washers, 2 5.5" bolts, 2 nuts</t>
  </si>
  <si>
    <t>IG Stainless Exhaust, RS for up to 73</t>
  </si>
  <si>
    <t>993 Oil Feed Line, stainless steel</t>
  </si>
  <si>
    <t>993 Wiring harness with DME relay connector</t>
  </si>
  <si>
    <t>Basic Conversion Kit</t>
  </si>
  <si>
    <t>993 Based 3.6 Conversion Estimator</t>
  </si>
  <si>
    <t>Fuel Line - Return Carrera 84-89</t>
  </si>
  <si>
    <t>Fuel Line - Return CIS 73-83</t>
  </si>
  <si>
    <t>Fuel Line - Return (to barb connector) -72</t>
  </si>
  <si>
    <t>"S" Hose - tank to feed line - NOTE Used not reccomended!</t>
  </si>
  <si>
    <t>915 PowerPack Clutch Kit ($800+ elsewhere)</t>
  </si>
  <si>
    <t>Shroud Blockoff kit ($15 with popular options)</t>
  </si>
  <si>
    <t>*964 Popular Options Discount</t>
  </si>
  <si>
    <t>PS Blockoff ($10 off with popular options)*</t>
  </si>
  <si>
    <t>964 Cyntex Chips -w- Flywheel Stabiliation ($50 off with kit)*</t>
  </si>
  <si>
    <t>Evo Motorsports Fresh Air Filter 964 ($15 off with popular options)*</t>
  </si>
  <si>
    <t>993 EuroVRAM Chips -w- FW mod ($100 off with popular opts)*</t>
  </si>
  <si>
    <t>993 95 Cyntex Chips -w- FW mod  ($100 off with popular opts)*</t>
  </si>
  <si>
    <t>Replacement Shroud Cap 964 (required for CF tube)</t>
  </si>
  <si>
    <t>Customer Options</t>
  </si>
  <si>
    <t>Heater Distrbution for 993 Headers - under sheetmetal</t>
  </si>
  <si>
    <t>993 US VRAM DME Reprogramming-Stock Tune</t>
  </si>
  <si>
    <t/>
  </si>
  <si>
    <t>included</t>
  </si>
  <si>
    <t>Era</t>
  </si>
  <si>
    <t>KL21 Carrera 84-89</t>
  </si>
  <si>
    <t>1973-83</t>
  </si>
  <si>
    <t>Fuel Filter Early and SC through 1983</t>
  </si>
  <si>
    <t>G50 Starter Ring Gear</t>
  </si>
  <si>
    <t>993 Coil Braket - Bolt On Option</t>
  </si>
  <si>
    <r>
      <t>E-mail:</t>
    </r>
    <r>
      <rPr>
        <sz val="12"/>
        <rFont val="Arial"/>
        <family val="1"/>
      </rPr>
      <t xml:space="preserve"> </t>
    </r>
    <r>
      <rPr>
        <b/>
        <sz val="12"/>
        <color indexed="18"/>
        <rFont val="Arial"/>
        <family val="1"/>
      </rPr>
      <t>timmins@instant-g.com</t>
    </r>
    <r>
      <rPr>
        <b/>
        <sz val="12"/>
        <rFont val="Arial"/>
        <family val="1"/>
      </rPr>
      <t xml:space="preserve"> </t>
    </r>
  </si>
  <si>
    <t>Dual 993 Vaccum Canisters with mount- Required with Vram</t>
  </si>
  <si>
    <t>Decklid Hinge Modification clear heater blower motor (supply core)</t>
  </si>
  <si>
    <t>Replacement Shroud Cap 993 95-late vram</t>
  </si>
  <si>
    <t>Replacement Shroud Cap 964 95 early (required for CF tube)</t>
  </si>
  <si>
    <t>Secondary Air System Cam Twoer Plugs (2)</t>
  </si>
  <si>
    <t xml:space="preserve">Dual 44 Row Fender Kit S/SC Upgrade coolers,fittings, clamps, oill cooler brackets (uses existing hard lines) </t>
  </si>
  <si>
    <t>Name</t>
  </si>
  <si>
    <t>Oil Breatther Line - Intake boot to oil filler neck on tank</t>
  </si>
  <si>
    <t>Oil Breatherr Line - Oil Console on engine to lower oil tank</t>
  </si>
  <si>
    <t>Oil breather dual coupler kit with 8 euro clamps</t>
  </si>
  <si>
    <t>Engine 95 993,  USED 45K miles install all accessories and test</t>
  </si>
  <si>
    <t>Engines                USED</t>
  </si>
  <si>
    <t>USED</t>
  </si>
  <si>
    <t>TOP END</t>
  </si>
  <si>
    <t>COMPLETE REBUILD</t>
  </si>
  <si>
    <r>
      <t>Engine 96 993,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Euro DME and harness</t>
    </r>
    <r>
      <rPr>
        <sz val="10"/>
        <rFont val="Arial"/>
        <family val="2"/>
      </rPr>
      <t xml:space="preserve"> OBD-I 70K miles</t>
    </r>
  </si>
  <si>
    <t>Engine 95 993, 95 DME, fresh top end with valve guides, through bolt seals, etc.. harness install all accessories and test</t>
  </si>
  <si>
    <r>
      <t xml:space="preserve">Engine </t>
    </r>
    <r>
      <rPr>
        <b/>
        <sz val="10"/>
        <rFont val="Arial"/>
        <family val="2"/>
      </rPr>
      <t>VRAM, 95-98 Euro DME/harness</t>
    </r>
    <r>
      <rPr>
        <sz val="10"/>
        <rFont val="Arial"/>
        <family val="2"/>
      </rPr>
      <t>, VRam Spec Valves/Heads, Compete rebuild with valve guides, etc.. replace all bearings, seals, etc. install all accessories/test</t>
    </r>
  </si>
  <si>
    <r>
      <t xml:space="preserve">Engine 95-98 993  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 xml:space="preserve"> Spec fresh top end with valve guides, through bolt seals, etc. </t>
    </r>
    <r>
      <rPr>
        <b/>
        <sz val="10"/>
        <rFont val="Arial"/>
        <family val="2"/>
      </rPr>
      <t xml:space="preserve">Euro DME/harness </t>
    </r>
    <r>
      <rPr>
        <sz val="10"/>
        <rFont val="Arial"/>
        <family val="2"/>
      </rPr>
      <t>install all accessories/test</t>
    </r>
  </si>
  <si>
    <r>
      <t xml:space="preserve">Engine </t>
    </r>
    <r>
      <rPr>
        <b/>
        <sz val="10"/>
        <rFont val="Arial"/>
        <family val="2"/>
      </rPr>
      <t>95 993</t>
    </r>
    <r>
      <rPr>
        <sz val="10"/>
        <rFont val="Arial"/>
        <family val="2"/>
      </rPr>
      <t xml:space="preserve">, 95 DME, Compete rebuild with valve guides. replace all bearings, seals, etc. install all accessories and test.  </t>
    </r>
    <r>
      <rPr>
        <b/>
        <sz val="10"/>
        <rFont val="Arial"/>
        <family val="2"/>
      </rPr>
      <t>Add $500 to update to VRam intake and exhaust valves</t>
    </r>
    <r>
      <rPr>
        <sz val="10"/>
        <rFont val="Arial"/>
        <family val="2"/>
      </rPr>
      <t>.</t>
    </r>
  </si>
  <si>
    <t>Upgrade to full kit, rocker lines, thermostat, oil tank line, scavenge line and adel clamps</t>
  </si>
  <si>
    <t>993 Passenger Fender mount kit with fan - for SC/Carrera</t>
  </si>
  <si>
    <t>Add On kits use existing thermostat and rocker lines.</t>
  </si>
  <si>
    <t>Add on 44 Row 2nd cooler kit for Driver's Fender mount - complete 13' hose</t>
  </si>
  <si>
    <t>Upgrades</t>
  </si>
  <si>
    <t>Cooling fan kit for 44 row or carrera cooler (specify) includes fan, custom bracket, relay assembly thermostat and thermostat housing.</t>
  </si>
  <si>
    <t xml:space="preserve">     Rotate Flanges 993 Headers for 964 application</t>
  </si>
  <si>
    <t xml:space="preserve">     RS Crab - 993 Heater Ducting Assembly, cap hoses and adapters</t>
  </si>
  <si>
    <t>Chassis</t>
  </si>
  <si>
    <t>Engine</t>
  </si>
  <si>
    <t>1995 Non Varioram</t>
  </si>
  <si>
    <t>1995 With Vram Conversion</t>
  </si>
  <si>
    <t>1995-1998 Varioram Euro Spec</t>
  </si>
  <si>
    <t>1996-1998 Varioram US Spec</t>
  </si>
  <si>
    <t xml:space="preserve"> </t>
  </si>
  <si>
    <t>Customer Supplied</t>
  </si>
  <si>
    <t xml:space="preserve">Used Tested </t>
  </si>
  <si>
    <t>Top End</t>
  </si>
  <si>
    <t>Full Rebuild</t>
  </si>
  <si>
    <t>Condition</t>
  </si>
  <si>
    <t>Trans</t>
  </si>
  <si>
    <t>95</t>
  </si>
  <si>
    <t>95V</t>
  </si>
  <si>
    <t>VRUS</t>
  </si>
  <si>
    <t>CUST</t>
  </si>
  <si>
    <t>FULL</t>
  </si>
  <si>
    <t>TOP</t>
  </si>
  <si>
    <t>Engine Condition</t>
  </si>
  <si>
    <t>VREURO</t>
  </si>
  <si>
    <r>
      <t>Engine</t>
    </r>
    <r>
      <rPr>
        <b/>
        <sz val="10"/>
        <rFont val="Arial"/>
        <family val="2"/>
      </rPr>
      <t xml:space="preserve"> VRAM </t>
    </r>
    <r>
      <rPr>
        <sz val="10"/>
        <rFont val="Arial"/>
        <family val="2"/>
      </rPr>
      <t xml:space="preserve">96-98 993, </t>
    </r>
    <r>
      <rPr>
        <b/>
        <sz val="10"/>
        <rFont val="Arial"/>
        <family val="2"/>
      </rPr>
      <t>US DME</t>
    </r>
    <r>
      <rPr>
        <sz val="10"/>
        <rFont val="Arial"/>
        <family val="2"/>
      </rPr>
      <t xml:space="preserve"> Fresh top end, with valve guides, through bolt seals, install accessories/ test, Includes 97-98 DME</t>
    </r>
  </si>
  <si>
    <r>
      <t xml:space="preserve">Engine </t>
    </r>
    <r>
      <rPr>
        <b/>
        <sz val="10"/>
        <rFont val="Arial"/>
        <family val="2"/>
      </rPr>
      <t>VRAM, 97-98 US DME/harness</t>
    </r>
    <r>
      <rPr>
        <sz val="10"/>
        <rFont val="Arial"/>
        <family val="2"/>
      </rPr>
      <t>, VRam Spec Valves/Heads, Compete rebuild with valve guides, etc.. replace all bearings, seals, etc. install all accessories/test</t>
    </r>
  </si>
  <si>
    <t>60/70 Row Nose Mountl Kit  Replaces SC Trombone</t>
  </si>
  <si>
    <t>60-70 Row Mocal Nose Mount Kit -Nose  retains fender mount carrera cooler</t>
  </si>
  <si>
    <t>Quantity In Set</t>
  </si>
  <si>
    <t>Retail - PRICE FOR SET</t>
  </si>
  <si>
    <t>Item</t>
  </si>
  <si>
    <t>Blast</t>
  </si>
  <si>
    <t>Cerakoat</t>
  </si>
  <si>
    <t>Single Stage</t>
  </si>
  <si>
    <t>Clear 2nd Stage</t>
  </si>
  <si>
    <t>Engine Crossmember</t>
  </si>
  <si>
    <t>Cylinder Air Deflectors</t>
  </si>
  <si>
    <t>Sheetmetal Set</t>
  </si>
  <si>
    <t>AC Compressor NEW</t>
  </si>
  <si>
    <t>Cam boxes and covers</t>
  </si>
  <si>
    <t>Valve Covers 911/964</t>
  </si>
  <si>
    <t>Fan Ring</t>
  </si>
  <si>
    <t>Fan - Blades</t>
  </si>
  <si>
    <t>Fan Clamps</t>
  </si>
  <si>
    <t>Transmission Complete - Air Dry Coat</t>
  </si>
  <si>
    <t>AC Console FULL or short</t>
  </si>
  <si>
    <t>Varioram</t>
  </si>
  <si>
    <t>Crank Pulley</t>
  </si>
  <si>
    <t>1990-94 Engine with complete rebuild, ramps, etc. plus updates, plastic intake, head gasket update, bearings etc.</t>
  </si>
  <si>
    <t>1990-94 Engine with top end rebuild, ramps, etc. plus updates, plastic intake, late cylinders, bearings etc.</t>
  </si>
  <si>
    <t xml:space="preserve">     Add Upgrade IG from 1-3/4" to 1-7/8" Primary Tubing  </t>
  </si>
  <si>
    <t xml:space="preserve">     Add for RS for up to 73</t>
  </si>
  <si>
    <t>.Name</t>
  </si>
  <si>
    <t>Ala Carte 3.6 Conversion Estimator</t>
  </si>
  <si>
    <t>964</t>
  </si>
  <si>
    <t>993</t>
  </si>
  <si>
    <t>G50</t>
  </si>
  <si>
    <t>Flywheel for 3.6 conversion - G50 with sensor pickup (Adds $200, with or without RS clutch kit)</t>
  </si>
  <si>
    <t>993 Witring Harness</t>
  </si>
  <si>
    <t>Incl</t>
  </si>
  <si>
    <t xml:space="preserve">Fuel Line - Return </t>
  </si>
  <si>
    <t>Oil Feed Line</t>
  </si>
  <si>
    <t>993 US VRAM DME Reprogramming-Euro Performance</t>
  </si>
  <si>
    <t>Total Popular Options</t>
  </si>
  <si>
    <t>Total Customer Added Options</t>
  </si>
  <si>
    <t>Spintech 2.5" Stainless Mufflers for Headers, bracket, clamps, etc.</t>
  </si>
  <si>
    <t>5" Supertrapp 2.5" Stainless Mufflers for Headers, bracket, etc. etc.</t>
  </si>
  <si>
    <t>CoastFab 2.5" Stainless Mufflers for Headers, bracket, clamps, etc.</t>
  </si>
  <si>
    <t xml:space="preserve">     Add IG Stainless Exhaust, RS for up to 73</t>
  </si>
  <si>
    <t>Complete 993 System for cars through 1994</t>
  </si>
  <si>
    <r>
      <t xml:space="preserve">Engine 993 </t>
    </r>
    <r>
      <rPr>
        <b/>
        <sz val="10"/>
        <rFont val="Arial"/>
        <family val="2"/>
      </rPr>
      <t>VRAM</t>
    </r>
    <r>
      <rPr>
        <sz val="10"/>
        <rFont val="Arial"/>
        <family val="2"/>
      </rPr>
      <t>, 1996 USED 70k miles install all accessories/test, with 1997-98 DME</t>
    </r>
  </si>
  <si>
    <t>993 VRam vacuum line set with check valve</t>
  </si>
  <si>
    <t>Dual 993 Vaccum Canisters with mount- Required with VRam</t>
  </si>
  <si>
    <t xml:space="preserve">Dual OEM (Modie or L&amp;R)  Carrera Fender Kit S/SC Upgrade coolers,fittings, clamps, brackets (uses existing hard lines) </t>
  </si>
  <si>
    <t xml:space="preserve">Dual Aftermarket/Asian Carrera Fender Kit S/SC Upgrade coolers,fittings, clamps, brackets (uses existing hard lines) </t>
  </si>
  <si>
    <t>Add on Aftermarket Carrera Radiator for 2nd cooler Driver's Fender complete with lines and adapters</t>
  </si>
  <si>
    <t>Add on OEM (L&amp;R) Carrera Radiator for 2nd cooler Driver's Fender complete with lines and adapters</t>
  </si>
  <si>
    <t xml:space="preserve">Dual Extra Duty CSF Carrera Fender Kit S/SC Upgrade coolers,fittings, clamps, brackets (uses existing hard lines) </t>
  </si>
  <si>
    <t>SOLD  1992-94 Engine88K miles, tested and leak free, late cylinders with head gaskets, tested on the road with all accessorieschosen above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</si>
</sst>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2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indexed="21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1"/>
    </font>
    <font>
      <b/>
      <sz val="12"/>
      <color indexed="18"/>
      <name val="Arial"/>
      <family val="1"/>
    </font>
    <font>
      <b/>
      <sz val="12"/>
      <name val="Arial"/>
      <family val="1"/>
    </font>
    <font>
      <b/>
      <sz val="12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4" applyNumberFormat="0" applyAlignment="0" applyProtection="0"/>
    <xf numFmtId="0" fontId="20" fillId="31" borderId="15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36" borderId="14" applyNumberFormat="0" applyAlignment="0" applyProtection="0"/>
    <xf numFmtId="0" fontId="27" fillId="0" borderId="19" applyNumberFormat="0" applyFill="0" applyAlignment="0" applyProtection="0"/>
    <xf numFmtId="0" fontId="28" fillId="37" borderId="0" applyNumberFormat="0" applyBorder="0" applyAlignment="0" applyProtection="0"/>
    <xf numFmtId="0" fontId="6" fillId="0" borderId="0"/>
    <xf numFmtId="0" fontId="13" fillId="38" borderId="20" applyNumberFormat="0" applyFont="0" applyAlignment="0" applyProtection="0"/>
    <xf numFmtId="0" fontId="29" fillId="30" borderId="21" applyNumberFormat="0" applyAlignment="0" applyProtection="0"/>
    <xf numFmtId="0" fontId="3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3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6" fillId="0" borderId="0" xfId="0" applyFont="1"/>
    <xf numFmtId="0" fontId="0" fillId="3" borderId="0" xfId="0" applyFill="1"/>
    <xf numFmtId="0" fontId="0" fillId="3" borderId="2" xfId="0" applyFill="1" applyBorder="1"/>
    <xf numFmtId="164" fontId="5" fillId="0" borderId="0" xfId="28" applyNumberFormat="1" applyFont="1"/>
    <xf numFmtId="164" fontId="6" fillId="0" borderId="0" xfId="28" applyNumberFormat="1" applyFont="1" applyFill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4" fontId="3" fillId="0" borderId="0" xfId="28" applyNumberFormat="1"/>
    <xf numFmtId="164" fontId="3" fillId="0" borderId="0" xfId="28" applyNumberFormat="1" applyBorder="1"/>
    <xf numFmtId="164" fontId="3" fillId="0" borderId="0" xfId="28" applyNumberFormat="1" applyFill="1"/>
    <xf numFmtId="164" fontId="3" fillId="0" borderId="1" xfId="28" applyNumberFormat="1" applyBorder="1"/>
    <xf numFmtId="0" fontId="0" fillId="3" borderId="0" xfId="0" applyFill="1" applyBorder="1"/>
    <xf numFmtId="164" fontId="3" fillId="0" borderId="1" xfId="28" applyNumberFormat="1" applyFill="1" applyBorder="1"/>
    <xf numFmtId="164" fontId="6" fillId="0" borderId="0" xfId="0" applyNumberFormat="1" applyFont="1"/>
    <xf numFmtId="164" fontId="3" fillId="0" borderId="0" xfId="28" applyNumberFormat="1" applyFill="1" applyBorder="1"/>
    <xf numFmtId="0" fontId="0" fillId="3" borderId="3" xfId="0" applyFill="1" applyBorder="1"/>
    <xf numFmtId="0" fontId="0" fillId="0" borderId="3" xfId="0" applyBorder="1" applyAlignment="1">
      <alignment wrapText="1"/>
    </xf>
    <xf numFmtId="0" fontId="0" fillId="0" borderId="3" xfId="0" applyBorder="1"/>
    <xf numFmtId="164" fontId="3" fillId="0" borderId="3" xfId="28" applyNumberFormat="1" applyBorder="1"/>
    <xf numFmtId="164" fontId="6" fillId="0" borderId="4" xfId="0" applyNumberFormat="1" applyFont="1" applyBorder="1"/>
    <xf numFmtId="164" fontId="3" fillId="0" borderId="3" xfId="28" applyNumberFormat="1" applyFill="1" applyBorder="1"/>
    <xf numFmtId="164" fontId="0" fillId="0" borderId="4" xfId="0" applyNumberFormat="1" applyBorder="1"/>
    <xf numFmtId="0" fontId="0" fillId="0" borderId="0" xfId="0" applyBorder="1" applyAlignment="1">
      <alignment wrapText="1"/>
    </xf>
    <xf numFmtId="164" fontId="3" fillId="0" borderId="4" xfId="28" applyNumberFormat="1" applyBorder="1"/>
    <xf numFmtId="164" fontId="3" fillId="0" borderId="4" xfId="28" applyNumberFormat="1" applyFill="1" applyBorder="1"/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/>
    <xf numFmtId="0" fontId="0" fillId="4" borderId="2" xfId="0" applyFill="1" applyBorder="1" applyProtection="1">
      <protection locked="0"/>
    </xf>
    <xf numFmtId="0" fontId="0" fillId="0" borderId="2" xfId="0" applyFill="1" applyBorder="1" applyProtection="1"/>
    <xf numFmtId="0" fontId="6" fillId="4" borderId="2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5" fillId="0" borderId="0" xfId="0" applyFont="1"/>
    <xf numFmtId="164" fontId="0" fillId="2" borderId="6" xfId="0" applyNumberForma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4" borderId="6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64" fontId="3" fillId="0" borderId="0" xfId="28" applyNumberFormat="1" applyFill="1" applyBorder="1" applyProtection="1"/>
    <xf numFmtId="0" fontId="6" fillId="0" borderId="0" xfId="0" applyFont="1" applyFill="1" applyAlignment="1">
      <alignment wrapText="1"/>
    </xf>
    <xf numFmtId="0" fontId="6" fillId="4" borderId="2" xfId="0" applyFont="1" applyFill="1" applyBorder="1" applyAlignment="1" applyProtection="1">
      <alignment wrapText="1"/>
      <protection locked="0"/>
    </xf>
    <xf numFmtId="0" fontId="6" fillId="4" borderId="6" xfId="0" applyFont="1" applyFill="1" applyBorder="1" applyProtection="1">
      <protection locked="0"/>
    </xf>
    <xf numFmtId="0" fontId="0" fillId="39" borderId="2" xfId="0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0" fillId="0" borderId="10" xfId="0" applyBorder="1"/>
    <xf numFmtId="0" fontId="0" fillId="39" borderId="5" xfId="0" applyFill="1" applyBorder="1"/>
    <xf numFmtId="0" fontId="0" fillId="39" borderId="11" xfId="0" applyFill="1" applyBorder="1"/>
    <xf numFmtId="0" fontId="0" fillId="39" borderId="12" xfId="0" applyFill="1" applyBorder="1"/>
    <xf numFmtId="164" fontId="0" fillId="0" borderId="2" xfId="0" applyNumberFormat="1" applyBorder="1"/>
    <xf numFmtId="0" fontId="0" fillId="3" borderId="2" xfId="0" applyFill="1" applyBorder="1" applyProtection="1"/>
    <xf numFmtId="0" fontId="0" fillId="4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164" fontId="14" fillId="0" borderId="1" xfId="28" applyNumberFormat="1" applyFont="1" applyFill="1" applyBorder="1"/>
    <xf numFmtId="0" fontId="6" fillId="0" borderId="0" xfId="0" quotePrefix="1" applyFont="1" applyAlignment="1">
      <alignment wrapText="1"/>
    </xf>
    <xf numFmtId="0" fontId="6" fillId="4" borderId="9" xfId="0" quotePrefix="1" applyFont="1" applyFill="1" applyBorder="1" applyProtection="1">
      <protection locked="0"/>
    </xf>
    <xf numFmtId="0" fontId="32" fillId="4" borderId="6" xfId="0" applyFont="1" applyFill="1" applyBorder="1" applyProtection="1">
      <protection locked="0"/>
    </xf>
    <xf numFmtId="0" fontId="32" fillId="3" borderId="0" xfId="0" applyFont="1" applyFill="1"/>
    <xf numFmtId="0" fontId="33" fillId="0" borderId="0" xfId="0" applyFont="1" applyAlignment="1">
      <alignment horizontal="center"/>
    </xf>
    <xf numFmtId="0" fontId="32" fillId="0" borderId="0" xfId="0" applyFont="1"/>
    <xf numFmtId="0" fontId="34" fillId="0" borderId="0" xfId="0" applyFont="1" applyAlignment="1">
      <alignment horizontal="center"/>
    </xf>
    <xf numFmtId="0" fontId="32" fillId="4" borderId="7" xfId="0" applyFont="1" applyFill="1" applyBorder="1" applyProtection="1">
      <protection locked="0"/>
    </xf>
    <xf numFmtId="0" fontId="35" fillId="0" borderId="0" xfId="0" applyFont="1" applyAlignment="1">
      <alignment horizontal="center"/>
    </xf>
    <xf numFmtId="0" fontId="32" fillId="4" borderId="9" xfId="0" applyFont="1" applyFill="1" applyBorder="1" applyProtection="1">
      <protection locked="0"/>
    </xf>
    <xf numFmtId="0" fontId="32" fillId="4" borderId="8" xfId="0" applyFont="1" applyFill="1" applyBorder="1" applyProtection="1">
      <protection locked="0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32" fillId="0" borderId="0" xfId="0" applyFont="1" applyAlignment="1">
      <alignment wrapText="1"/>
    </xf>
    <xf numFmtId="0" fontId="42" fillId="0" borderId="0" xfId="0" applyFont="1"/>
    <xf numFmtId="0" fontId="32" fillId="0" borderId="2" xfId="0" applyFont="1" applyFill="1" applyBorder="1" applyProtection="1"/>
    <xf numFmtId="0" fontId="41" fillId="40" borderId="0" xfId="0" applyFont="1" applyFill="1" applyAlignment="1">
      <alignment horizontal="left"/>
    </xf>
    <xf numFmtId="0" fontId="42" fillId="0" borderId="0" xfId="0" applyFont="1" applyAlignment="1">
      <alignment wrapText="1"/>
    </xf>
    <xf numFmtId="164" fontId="32" fillId="0" borderId="0" xfId="28" applyNumberFormat="1" applyFont="1"/>
    <xf numFmtId="0" fontId="32" fillId="0" borderId="1" xfId="0" applyFont="1" applyBorder="1"/>
    <xf numFmtId="0" fontId="32" fillId="0" borderId="0" xfId="0" applyFont="1" applyFill="1" applyProtection="1"/>
    <xf numFmtId="0" fontId="32" fillId="0" borderId="0" xfId="0" applyFont="1" applyBorder="1"/>
    <xf numFmtId="0" fontId="32" fillId="3" borderId="2" xfId="0" applyFont="1" applyFill="1" applyBorder="1" applyProtection="1"/>
    <xf numFmtId="164" fontId="32" fillId="0" borderId="0" xfId="28" applyNumberFormat="1" applyFont="1" applyBorder="1"/>
    <xf numFmtId="0" fontId="32" fillId="0" borderId="0" xfId="0" applyFont="1" applyFill="1"/>
    <xf numFmtId="0" fontId="32" fillId="0" borderId="0" xfId="0" applyFont="1" applyProtection="1"/>
    <xf numFmtId="0" fontId="32" fillId="3" borderId="0" xfId="0" applyFont="1" applyFill="1" applyProtection="1"/>
    <xf numFmtId="164" fontId="32" fillId="0" borderId="0" xfId="28" applyNumberFormat="1" applyFont="1" applyFill="1"/>
    <xf numFmtId="0" fontId="32" fillId="0" borderId="1" xfId="0" applyFont="1" applyFill="1" applyBorder="1"/>
    <xf numFmtId="0" fontId="42" fillId="0" borderId="0" xfId="0" applyFont="1" applyFill="1"/>
    <xf numFmtId="0" fontId="32" fillId="4" borderId="2" xfId="0" applyFont="1" applyFill="1" applyBorder="1" applyProtection="1">
      <protection locked="0"/>
    </xf>
    <xf numFmtId="164" fontId="41" fillId="0" borderId="0" xfId="28" applyNumberFormat="1" applyFont="1"/>
    <xf numFmtId="0" fontId="41" fillId="0" borderId="13" xfId="0" applyFont="1" applyBorder="1" applyAlignment="1">
      <alignment wrapText="1"/>
    </xf>
    <xf numFmtId="0" fontId="32" fillId="3" borderId="3" xfId="0" applyFont="1" applyFill="1" applyBorder="1"/>
    <xf numFmtId="0" fontId="32" fillId="0" borderId="3" xfId="0" applyFont="1" applyBorder="1" applyAlignment="1">
      <alignment wrapText="1"/>
    </xf>
    <xf numFmtId="0" fontId="32" fillId="0" borderId="3" xfId="0" applyFont="1" applyBorder="1"/>
    <xf numFmtId="164" fontId="32" fillId="0" borderId="3" xfId="28" applyNumberFormat="1" applyFont="1" applyBorder="1"/>
    <xf numFmtId="164" fontId="32" fillId="0" borderId="4" xfId="28" applyNumberFormat="1" applyFont="1" applyBorder="1"/>
    <xf numFmtId="164" fontId="32" fillId="0" borderId="1" xfId="28" applyNumberFormat="1" applyFont="1" applyFill="1" applyBorder="1"/>
    <xf numFmtId="0" fontId="32" fillId="3" borderId="2" xfId="0" applyFont="1" applyFill="1" applyBorder="1"/>
    <xf numFmtId="164" fontId="32" fillId="0" borderId="0" xfId="28" applyNumberFormat="1" applyFont="1" applyFill="1" applyBorder="1"/>
    <xf numFmtId="164" fontId="32" fillId="0" borderId="1" xfId="28" applyNumberFormat="1" applyFont="1" applyBorder="1"/>
    <xf numFmtId="164" fontId="32" fillId="0" borderId="0" xfId="0" applyNumberFormat="1" applyFont="1" applyBorder="1"/>
    <xf numFmtId="164" fontId="42" fillId="0" borderId="0" xfId="0" applyNumberFormat="1" applyFont="1"/>
    <xf numFmtId="0" fontId="32" fillId="0" borderId="2" xfId="0" applyFont="1" applyFill="1" applyBorder="1" applyProtection="1">
      <protection locked="0"/>
    </xf>
    <xf numFmtId="0" fontId="42" fillId="4" borderId="2" xfId="0" applyFont="1" applyFill="1" applyBorder="1" applyProtection="1">
      <protection locked="0"/>
    </xf>
    <xf numFmtId="164" fontId="42" fillId="0" borderId="0" xfId="28" applyNumberFormat="1" applyFont="1" applyFill="1"/>
    <xf numFmtId="0" fontId="42" fillId="4" borderId="2" xfId="0" applyFont="1" applyFill="1" applyBorder="1" applyAlignment="1" applyProtection="1">
      <alignment wrapText="1"/>
      <protection locked="0"/>
    </xf>
    <xf numFmtId="0" fontId="32" fillId="4" borderId="0" xfId="0" applyFont="1" applyFill="1" applyBorder="1" applyProtection="1">
      <protection locked="0"/>
    </xf>
    <xf numFmtId="0" fontId="32" fillId="4" borderId="2" xfId="0" applyFont="1" applyFill="1" applyBorder="1" applyAlignment="1" applyProtection="1">
      <alignment wrapText="1"/>
      <protection locked="0"/>
    </xf>
    <xf numFmtId="0" fontId="32" fillId="3" borderId="0" xfId="0" applyFont="1" applyFill="1" applyBorder="1"/>
    <xf numFmtId="0" fontId="41" fillId="0" borderId="13" xfId="0" applyFont="1" applyBorder="1"/>
    <xf numFmtId="164" fontId="42" fillId="0" borderId="4" xfId="0" applyNumberFormat="1" applyFont="1" applyBorder="1"/>
    <xf numFmtId="0" fontId="32" fillId="0" borderId="0" xfId="0" applyFont="1" applyBorder="1" applyAlignment="1">
      <alignment wrapText="1"/>
    </xf>
    <xf numFmtId="0" fontId="42" fillId="0" borderId="0" xfId="0" applyFont="1" applyFill="1" applyAlignment="1" applyProtection="1">
      <alignment wrapText="1"/>
    </xf>
    <xf numFmtId="0" fontId="32" fillId="0" borderId="10" xfId="0" applyFont="1" applyBorder="1"/>
    <xf numFmtId="164" fontId="32" fillId="0" borderId="0" xfId="28" applyNumberFormat="1" applyFont="1" applyFill="1" applyProtection="1"/>
    <xf numFmtId="0" fontId="32" fillId="0" borderId="0" xfId="0" applyFont="1" applyFill="1" applyAlignment="1" applyProtection="1">
      <alignment wrapText="1"/>
    </xf>
    <xf numFmtId="164" fontId="32" fillId="0" borderId="3" xfId="28" applyNumberFormat="1" applyFont="1" applyFill="1" applyBorder="1"/>
    <xf numFmtId="164" fontId="32" fillId="0" borderId="4" xfId="0" applyNumberFormat="1" applyFont="1" applyBorder="1"/>
    <xf numFmtId="164" fontId="41" fillId="2" borderId="6" xfId="0" applyNumberFormat="1" applyFont="1" applyFill="1" applyBorder="1"/>
    <xf numFmtId="164" fontId="32" fillId="0" borderId="0" xfId="0" applyNumberFormat="1" applyFont="1"/>
    <xf numFmtId="0" fontId="32" fillId="39" borderId="5" xfId="0" applyFont="1" applyFill="1" applyBorder="1"/>
    <xf numFmtId="0" fontId="32" fillId="39" borderId="11" xfId="0" applyFont="1" applyFill="1" applyBorder="1"/>
    <xf numFmtId="0" fontId="32" fillId="39" borderId="12" xfId="0" applyFont="1" applyFill="1" applyBorder="1"/>
    <xf numFmtId="164" fontId="32" fillId="0" borderId="2" xfId="0" applyNumberFormat="1" applyFont="1" applyBorder="1"/>
    <xf numFmtId="0" fontId="0" fillId="0" borderId="0" xfId="0" applyFont="1" applyAlignment="1">
      <alignment wrapText="1"/>
    </xf>
    <xf numFmtId="0" fontId="3" fillId="4" borderId="2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164" fontId="0" fillId="4" borderId="2" xfId="28" applyNumberFormat="1" applyFont="1" applyFill="1" applyBorder="1" applyProtection="1">
      <protection locked="0"/>
    </xf>
    <xf numFmtId="164" fontId="32" fillId="0" borderId="0" xfId="28" applyNumberFormat="1" applyFont="1" applyAlignment="1">
      <alignment wrapText="1"/>
    </xf>
    <xf numFmtId="164" fontId="32" fillId="4" borderId="2" xfId="28" applyNumberFormat="1" applyFont="1" applyFill="1" applyBorder="1" applyProtection="1">
      <protection locked="0"/>
    </xf>
    <xf numFmtId="164" fontId="32" fillId="0" borderId="0" xfId="28" applyNumberFormat="1" applyFont="1" applyFill="1" applyBorder="1" applyProtection="1">
      <protection locked="0"/>
    </xf>
    <xf numFmtId="164" fontId="32" fillId="0" borderId="0" xfId="28" applyNumberFormat="1" applyFont="1" applyFill="1" applyBorder="1" applyProtection="1"/>
    <xf numFmtId="164" fontId="0" fillId="0" borderId="0" xfId="28" applyNumberFormat="1" applyFont="1"/>
    <xf numFmtId="164" fontId="0" fillId="0" borderId="1" xfId="28" applyNumberFormat="1" applyFont="1" applyBorder="1"/>
    <xf numFmtId="164" fontId="0" fillId="0" borderId="0" xfId="28" applyNumberFormat="1" applyFont="1" applyBorder="1"/>
    <xf numFmtId="164" fontId="0" fillId="0" borderId="0" xfId="28" applyNumberFormat="1" applyFont="1" applyFill="1"/>
    <xf numFmtId="164" fontId="0" fillId="0" borderId="1" xfId="28" applyNumberFormat="1" applyFont="1" applyFill="1" applyBorder="1"/>
    <xf numFmtId="164" fontId="0" fillId="0" borderId="3" xfId="28" applyNumberFormat="1" applyFont="1" applyBorder="1"/>
    <xf numFmtId="164" fontId="6" fillId="0" borderId="0" xfId="28" applyNumberFormat="1" applyFont="1"/>
    <xf numFmtId="164" fontId="0" fillId="0" borderId="0" xfId="28" applyNumberFormat="1" applyFont="1" applyAlignment="1">
      <alignment wrapText="1"/>
    </xf>
    <xf numFmtId="164" fontId="0" fillId="0" borderId="0" xfId="28" applyNumberFormat="1" applyFont="1" applyFill="1" applyBorder="1" applyProtection="1"/>
    <xf numFmtId="164" fontId="0" fillId="0" borderId="0" xfId="28" applyNumberFormat="1" applyFont="1" applyFill="1" applyBorder="1"/>
    <xf numFmtId="164" fontId="3" fillId="4" borderId="2" xfId="28" applyNumberFormat="1" applyFont="1" applyFill="1" applyBorder="1" applyProtection="1">
      <protection locked="0"/>
    </xf>
    <xf numFmtId="0" fontId="41" fillId="0" borderId="0" xfId="0" applyFont="1" applyBorder="1"/>
    <xf numFmtId="0" fontId="5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Protection="1"/>
    <xf numFmtId="0" fontId="5" fillId="40" borderId="0" xfId="0" applyFont="1" applyFill="1" applyAlignment="1">
      <alignment horizontal="left"/>
    </xf>
    <xf numFmtId="0" fontId="6" fillId="0" borderId="0" xfId="0" quotePrefix="1" applyFont="1"/>
    <xf numFmtId="0" fontId="32" fillId="39" borderId="2" xfId="0" applyFont="1" applyFill="1" applyBorder="1" applyProtection="1">
      <protection locked="0"/>
    </xf>
    <xf numFmtId="164" fontId="0" fillId="39" borderId="2" xfId="28" applyNumberFormat="1" applyFont="1" applyFill="1" applyBorder="1" applyProtection="1">
      <protection locked="0"/>
    </xf>
    <xf numFmtId="0" fontId="3" fillId="0" borderId="0" xfId="0" applyFont="1" applyFill="1"/>
    <xf numFmtId="0" fontId="3" fillId="4" borderId="7" xfId="50" applyFill="1" applyBorder="1" applyProtection="1">
      <protection locked="0"/>
    </xf>
    <xf numFmtId="0" fontId="3" fillId="3" borderId="0" xfId="50" applyFill="1"/>
    <xf numFmtId="0" fontId="7" fillId="0" borderId="0" xfId="50" applyFont="1" applyAlignment="1">
      <alignment horizontal="center"/>
    </xf>
    <xf numFmtId="0" fontId="3" fillId="0" borderId="0" xfId="50"/>
    <xf numFmtId="164" fontId="0" fillId="0" borderId="0" xfId="51" applyNumberFormat="1" applyFont="1"/>
    <xf numFmtId="164" fontId="3" fillId="0" borderId="0" xfId="51" applyNumberFormat="1"/>
    <xf numFmtId="0" fontId="3" fillId="4" borderId="6" xfId="50" applyFill="1" applyBorder="1" applyProtection="1">
      <protection locked="0"/>
    </xf>
    <xf numFmtId="0" fontId="11" fillId="0" borderId="0" xfId="50" applyFont="1" applyAlignment="1">
      <alignment horizontal="center"/>
    </xf>
    <xf numFmtId="0" fontId="12" fillId="0" borderId="0" xfId="50" applyFont="1" applyAlignment="1">
      <alignment horizontal="center"/>
    </xf>
    <xf numFmtId="0" fontId="3" fillId="4" borderId="9" xfId="50" applyFill="1" applyBorder="1" applyProtection="1">
      <protection locked="0"/>
    </xf>
    <xf numFmtId="0" fontId="3" fillId="4" borderId="8" xfId="50" applyFill="1" applyBorder="1" applyProtection="1">
      <protection locked="0"/>
    </xf>
    <xf numFmtId="0" fontId="4" fillId="0" borderId="0" xfId="50" applyFont="1" applyAlignment="1">
      <alignment horizontal="center"/>
    </xf>
    <xf numFmtId="0" fontId="10" fillId="0" borderId="0" xfId="50" applyFont="1" applyAlignment="1">
      <alignment horizontal="center"/>
    </xf>
    <xf numFmtId="0" fontId="5" fillId="0" borderId="0" xfId="50" applyFont="1"/>
    <xf numFmtId="0" fontId="3" fillId="0" borderId="0" xfId="50" applyAlignment="1">
      <alignment wrapText="1"/>
    </xf>
    <xf numFmtId="0" fontId="3" fillId="0" borderId="0" xfId="50" applyAlignment="1">
      <alignment horizontal="center"/>
    </xf>
    <xf numFmtId="0" fontId="3" fillId="39" borderId="2" xfId="50" applyFill="1" applyBorder="1" applyProtection="1">
      <protection locked="0"/>
    </xf>
    <xf numFmtId="164" fontId="3" fillId="0" borderId="0" xfId="51" applyNumberFormat="1" applyFont="1"/>
    <xf numFmtId="0" fontId="3" fillId="0" borderId="1" xfId="50" applyBorder="1"/>
    <xf numFmtId="164" fontId="3" fillId="0" borderId="0" xfId="50" applyNumberFormat="1"/>
    <xf numFmtId="0" fontId="3" fillId="0" borderId="2" xfId="50" applyBorder="1" applyProtection="1">
      <protection hidden="1"/>
    </xf>
    <xf numFmtId="0" fontId="3" fillId="4" borderId="2" xfId="50" applyFill="1" applyBorder="1" applyProtection="1">
      <protection locked="0"/>
    </xf>
    <xf numFmtId="0" fontId="3" fillId="4" borderId="0" xfId="50" applyFill="1" applyProtection="1">
      <protection locked="0"/>
    </xf>
    <xf numFmtId="164" fontId="3" fillId="0" borderId="0" xfId="51" applyNumberFormat="1" applyFill="1"/>
    <xf numFmtId="164" fontId="5" fillId="0" borderId="0" xfId="51" applyNumberFormat="1" applyFont="1"/>
    <xf numFmtId="164" fontId="0" fillId="0" borderId="0" xfId="51" applyNumberFormat="1" applyFont="1" applyBorder="1"/>
    <xf numFmtId="164" fontId="3" fillId="0" borderId="0" xfId="51" applyNumberFormat="1" applyBorder="1"/>
    <xf numFmtId="0" fontId="3" fillId="0" borderId="13" xfId="50" applyBorder="1" applyAlignment="1">
      <alignment wrapText="1"/>
    </xf>
    <xf numFmtId="0" fontId="3" fillId="3" borderId="3" xfId="50" applyFill="1" applyBorder="1"/>
    <xf numFmtId="0" fontId="3" fillId="0" borderId="3" xfId="50" applyBorder="1" applyAlignment="1">
      <alignment wrapText="1"/>
    </xf>
    <xf numFmtId="0" fontId="3" fillId="0" borderId="3" xfId="50" applyBorder="1"/>
    <xf numFmtId="164" fontId="0" fillId="0" borderId="3" xfId="51" applyNumberFormat="1" applyFont="1" applyBorder="1"/>
    <xf numFmtId="164" fontId="0" fillId="0" borderId="1" xfId="51" applyNumberFormat="1" applyFont="1" applyBorder="1"/>
    <xf numFmtId="164" fontId="3" fillId="0" borderId="1" xfId="51" applyNumberFormat="1" applyFill="1" applyBorder="1"/>
    <xf numFmtId="164" fontId="3" fillId="0" borderId="0" xfId="52" applyNumberFormat="1" applyFont="1" applyFill="1"/>
    <xf numFmtId="0" fontId="3" fillId="42" borderId="0" xfId="50" applyFill="1"/>
    <xf numFmtId="0" fontId="3" fillId="4" borderId="2" xfId="50" applyFill="1" applyBorder="1" applyAlignment="1" applyProtection="1">
      <alignment wrapText="1"/>
      <protection locked="0"/>
    </xf>
    <xf numFmtId="164" fontId="0" fillId="4" borderId="2" xfId="51" applyNumberFormat="1" applyFont="1" applyFill="1" applyBorder="1" applyProtection="1">
      <protection locked="0"/>
    </xf>
    <xf numFmtId="164" fontId="3" fillId="0" borderId="0" xfId="51" applyNumberFormat="1" applyFill="1" applyBorder="1"/>
    <xf numFmtId="0" fontId="3" fillId="0" borderId="13" xfId="50" applyBorder="1"/>
    <xf numFmtId="164" fontId="3" fillId="0" borderId="3" xfId="51" applyNumberFormat="1" applyBorder="1"/>
    <xf numFmtId="164" fontId="3" fillId="0" borderId="4" xfId="50" applyNumberFormat="1" applyBorder="1"/>
    <xf numFmtId="164" fontId="3" fillId="0" borderId="4" xfId="51" applyNumberFormat="1" applyBorder="1"/>
    <xf numFmtId="164" fontId="5" fillId="2" borderId="6" xfId="50" applyNumberFormat="1" applyFont="1" applyFill="1" applyBorder="1"/>
    <xf numFmtId="165" fontId="3" fillId="41" borderId="6" xfId="53" applyNumberFormat="1" applyFont="1" applyFill="1" applyBorder="1"/>
    <xf numFmtId="0" fontId="3" fillId="4" borderId="7" xfId="0" applyFont="1" applyFill="1" applyBorder="1" applyProtection="1">
      <protection locked="0"/>
    </xf>
    <xf numFmtId="165" fontId="32" fillId="41" borderId="6" xfId="53" applyNumberFormat="1" applyFont="1" applyFill="1" applyBorder="1"/>
    <xf numFmtId="0" fontId="0" fillId="0" borderId="23" xfId="0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0" borderId="0" xfId="54"/>
    <xf numFmtId="0" fontId="1" fillId="0" borderId="0" xfId="54" applyAlignment="1">
      <alignment wrapText="1"/>
    </xf>
    <xf numFmtId="0" fontId="1" fillId="0" borderId="27" xfId="54" applyBorder="1" applyAlignment="1">
      <alignment horizontal="center" wrapText="1"/>
    </xf>
    <xf numFmtId="0" fontId="1" fillId="0" borderId="0" xfId="54" applyAlignment="1">
      <alignment horizontal="center" wrapText="1"/>
    </xf>
    <xf numFmtId="0" fontId="1" fillId="0" borderId="28" xfId="54" applyBorder="1" applyAlignment="1">
      <alignment horizontal="center" wrapText="1"/>
    </xf>
    <xf numFmtId="0" fontId="1" fillId="0" borderId="7" xfId="54" applyBorder="1" applyAlignment="1">
      <alignment horizontal="center"/>
    </xf>
    <xf numFmtId="0" fontId="1" fillId="0" borderId="24" xfId="54" applyBorder="1" applyAlignment="1">
      <alignment horizontal="center"/>
    </xf>
    <xf numFmtId="0" fontId="1" fillId="0" borderId="25" xfId="54" applyBorder="1"/>
    <xf numFmtId="0" fontId="1" fillId="0" borderId="26" xfId="54" applyBorder="1"/>
    <xf numFmtId="0" fontId="1" fillId="0" borderId="9" xfId="54" applyBorder="1" applyAlignment="1">
      <alignment horizontal="center"/>
    </xf>
    <xf numFmtId="0" fontId="1" fillId="0" borderId="27" xfId="54" applyBorder="1" applyAlignment="1">
      <alignment horizontal="center"/>
    </xf>
    <xf numFmtId="0" fontId="1" fillId="0" borderId="28" xfId="54" applyBorder="1"/>
    <xf numFmtId="0" fontId="1" fillId="0" borderId="8" xfId="54" applyBorder="1" applyAlignment="1">
      <alignment horizontal="center"/>
    </xf>
    <xf numFmtId="0" fontId="1" fillId="0" borderId="29" xfId="54" applyBorder="1" applyAlignment="1">
      <alignment horizontal="center"/>
    </xf>
    <xf numFmtId="0" fontId="1" fillId="0" borderId="10" xfId="54" applyBorder="1"/>
    <xf numFmtId="0" fontId="1" fillId="0" borderId="30" xfId="54" applyBorder="1"/>
    <xf numFmtId="0" fontId="44" fillId="0" borderId="0" xfId="0" applyFont="1" applyAlignment="1">
      <alignment wrapText="1"/>
    </xf>
    <xf numFmtId="0" fontId="3" fillId="4" borderId="6" xfId="0" applyFont="1" applyFill="1" applyBorder="1" applyProtection="1">
      <protection locked="0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5" fillId="0" borderId="0" xfId="51" quotePrefix="1" applyNumberFormat="1" applyFont="1" applyAlignment="1">
      <alignment horizontal="center"/>
    </xf>
    <xf numFmtId="164" fontId="5" fillId="0" borderId="0" xfId="51" applyNumberFormat="1" applyFont="1" applyAlignment="1">
      <alignment horizontal="center"/>
    </xf>
    <xf numFmtId="0" fontId="1" fillId="0" borderId="7" xfId="54" applyBorder="1" applyAlignment="1">
      <alignment horizontal="center" wrapText="1"/>
    </xf>
    <xf numFmtId="0" fontId="1" fillId="0" borderId="8" xfId="54" applyBorder="1" applyAlignment="1">
      <alignment horizontal="center" wrapText="1"/>
    </xf>
    <xf numFmtId="0" fontId="1" fillId="0" borderId="13" xfId="54" applyBorder="1" applyAlignment="1">
      <alignment horizontal="center"/>
    </xf>
    <xf numFmtId="0" fontId="1" fillId="0" borderId="3" xfId="54" applyBorder="1" applyAlignment="1">
      <alignment horizontal="center"/>
    </xf>
    <xf numFmtId="0" fontId="1" fillId="0" borderId="4" xfId="54" applyBorder="1" applyAlignment="1">
      <alignment horizontal="center"/>
    </xf>
  </cellXfs>
  <cellStyles count="55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73668DA0-EBD1-42C4-A445-6F1DAE4FE2AD}"/>
    <cellStyle name="Comma 3" xfId="30" xr:uid="{00000000-0005-0000-0000-00001D000000}"/>
    <cellStyle name="Comma 3 2" xfId="48" xr:uid="{5BA0A68C-A95E-4557-BB07-093812E6FC6D}"/>
    <cellStyle name="Comma 3 2 2" xfId="51" xr:uid="{C8E7F149-B307-4907-84A3-AFBC863F39E6}"/>
    <cellStyle name="Currency" xfId="53" builtinId="4"/>
    <cellStyle name="Emphasis 1" xfId="31" xr:uid="{00000000-0005-0000-0000-00001E000000}"/>
    <cellStyle name="Emphasis 2" xfId="32" xr:uid="{00000000-0005-0000-0000-00001F000000}"/>
    <cellStyle name="Emphasis 3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2B000000}"/>
    <cellStyle name="Normal 2 2" xfId="50" xr:uid="{163F6FF1-F182-41FE-BC83-B4F88083B44F}"/>
    <cellStyle name="Normal 3" xfId="49" xr:uid="{90ED6AE8-7454-4D79-B82A-527BB2D13BAC}"/>
    <cellStyle name="Normal 3 2" xfId="54" xr:uid="{E95DB815-823A-4F23-B047-89D1DBA52E05}"/>
    <cellStyle name="Note" xfId="43" builtinId="10" customBuiltin="1"/>
    <cellStyle name="Output" xfId="44" builtinId="21" customBuiltin="1"/>
    <cellStyle name="Sheet Title" xfId="45" xr:uid="{00000000-0005-0000-0000-00002E000000}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3438525</xdr:colOff>
      <xdr:row>0</xdr:row>
      <xdr:rowOff>0</xdr:rowOff>
    </xdr:from>
    <xdr:to>
      <xdr:col>9</xdr:col>
      <xdr:colOff>47625</xdr:colOff>
      <xdr:row>7</xdr:row>
      <xdr:rowOff>123825</xdr:rowOff>
    </xdr:to>
    <xdr:pic>
      <xdr:nvPicPr>
        <xdr:cNvPr id="6298" name="Picture 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463" y="0"/>
          <a:ext cx="1995487" cy="143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1476376</xdr:colOff>
      <xdr:row>8</xdr:row>
      <xdr:rowOff>104775</xdr:rowOff>
    </xdr:from>
    <xdr:to>
      <xdr:col>10</xdr:col>
      <xdr:colOff>304801</xdr:colOff>
      <xdr:row>14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C538A4-0405-4F1B-BFD6-1DA4910D9FCA}"/>
            </a:ext>
          </a:extLst>
        </xdr:cNvPr>
        <xdr:cNvSpPr txBox="1"/>
      </xdr:nvSpPr>
      <xdr:spPr>
        <a:xfrm>
          <a:off x="3143251" y="1647825"/>
          <a:ext cx="5162550" cy="1019175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rgbClr val="FF0000"/>
              </a:solidFill>
            </a:rPr>
            <a:t>Note: Pricing Current as of 5/1/2022. Market changing rapidly</a:t>
          </a:r>
          <a:r>
            <a:rPr lang="en-US" sz="1800" baseline="0">
              <a:solidFill>
                <a:srgbClr val="FF0000"/>
              </a:solidFill>
            </a:rPr>
            <a:t> and all engines are extremely limited inventory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3409950</xdr:colOff>
      <xdr:row>0</xdr:row>
      <xdr:rowOff>9526</xdr:rowOff>
    </xdr:from>
    <xdr:to>
      <xdr:col>9</xdr:col>
      <xdr:colOff>476249</xdr:colOff>
      <xdr:row>7</xdr:row>
      <xdr:rowOff>133350</xdr:rowOff>
    </xdr:to>
    <xdr:pic>
      <xdr:nvPicPr>
        <xdr:cNvPr id="8341" name="Picture 2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526"/>
          <a:ext cx="2133599" cy="146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2076450</xdr:colOff>
      <xdr:row>12</xdr:row>
      <xdr:rowOff>19050</xdr:rowOff>
    </xdr:from>
    <xdr:to>
      <xdr:col>9</xdr:col>
      <xdr:colOff>619125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DCE7B3-B51D-43FA-903A-51A52FF28056}"/>
            </a:ext>
          </a:extLst>
        </xdr:cNvPr>
        <xdr:cNvSpPr txBox="1"/>
      </xdr:nvSpPr>
      <xdr:spPr>
        <a:xfrm>
          <a:off x="3800475" y="2228850"/>
          <a:ext cx="3609975" cy="1647825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rgbClr val="FF0000"/>
              </a:solidFill>
            </a:rPr>
            <a:t>Note: Pricing Current as of 5/1/2022. Market changing rapidly</a:t>
          </a:r>
          <a:r>
            <a:rPr lang="en-US" sz="1800" baseline="0">
              <a:solidFill>
                <a:srgbClr val="FF0000"/>
              </a:solidFill>
            </a:rPr>
            <a:t> and all engines are extremely limited inventoy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9</xdr:col>
      <xdr:colOff>514350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9CAFC0-D70A-4680-A951-6873980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575"/>
          <a:ext cx="1933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47"/>
  <sheetViews>
    <sheetView tabSelected="1" workbookViewId="0">
      <selection activeCell="B124" sqref="B124"/>
    </sheetView>
  </sheetViews>
  <sheetFormatPr defaultRowHeight="12.75" x14ac:dyDescent="0.2"/>
  <cols>
    <col min="1" max="1" width="21.85546875" customWidth="1"/>
    <col min="2" max="2" width="3.140625" style="6" customWidth="1"/>
    <col min="3" max="3" width="66.28515625" style="12" customWidth="1"/>
    <col min="4" max="5" width="5.42578125" hidden="1" customWidth="1"/>
    <col min="6" max="6" width="5.5703125" hidden="1" customWidth="1"/>
    <col min="7" max="7" width="8.85546875" hidden="1" customWidth="1"/>
    <col min="8" max="8" width="9.140625" style="150" customWidth="1"/>
    <col min="9" max="9" width="9.28515625" style="14" bestFit="1" customWidth="1"/>
    <col min="10" max="10" width="10.28515625" style="14" bestFit="1" customWidth="1"/>
    <col min="11" max="11" width="10.28515625" bestFit="1" customWidth="1"/>
  </cols>
  <sheetData>
    <row r="1" spans="1:11" ht="23.25" thickBot="1" x14ac:dyDescent="0.35">
      <c r="A1" s="217" t="s">
        <v>139</v>
      </c>
      <c r="C1" s="41" t="s">
        <v>33</v>
      </c>
    </row>
    <row r="2" spans="1:11" ht="13.5" thickBot="1" x14ac:dyDescent="0.25">
      <c r="A2" s="56">
        <v>1982</v>
      </c>
      <c r="C2" s="44" t="s">
        <v>34</v>
      </c>
    </row>
    <row r="3" spans="1:11" x14ac:dyDescent="0.2">
      <c r="A3" s="48" t="s">
        <v>48</v>
      </c>
      <c r="C3" s="45" t="s">
        <v>35</v>
      </c>
    </row>
    <row r="4" spans="1:11" x14ac:dyDescent="0.2">
      <c r="A4" s="75" t="s">
        <v>124</v>
      </c>
      <c r="C4" s="45" t="s">
        <v>13</v>
      </c>
    </row>
    <row r="5" spans="1:11" ht="13.5" thickBot="1" x14ac:dyDescent="0.25">
      <c r="A5" s="49" t="s">
        <v>49</v>
      </c>
      <c r="C5" s="45" t="s">
        <v>36</v>
      </c>
    </row>
    <row r="6" spans="1:11" ht="13.5" thickBot="1" x14ac:dyDescent="0.25">
      <c r="A6" s="49" t="s">
        <v>46</v>
      </c>
      <c r="C6" s="45" t="s">
        <v>37</v>
      </c>
    </row>
    <row r="7" spans="1:11" ht="16.5" thickBot="1" x14ac:dyDescent="0.3">
      <c r="A7" s="46" t="s">
        <v>47</v>
      </c>
      <c r="C7" s="42" t="s">
        <v>38</v>
      </c>
    </row>
    <row r="8" spans="1:11" ht="16.5" thickBot="1" x14ac:dyDescent="0.3">
      <c r="C8" s="43" t="s">
        <v>39</v>
      </c>
      <c r="K8" s="216">
        <f>K138</f>
        <v>4968</v>
      </c>
    </row>
    <row r="9" spans="1:11" ht="15.75" x14ac:dyDescent="0.25">
      <c r="A9" s="39" t="s">
        <v>40</v>
      </c>
      <c r="C9" s="43"/>
    </row>
    <row r="10" spans="1:11" ht="15.75" x14ac:dyDescent="0.25">
      <c r="C10" s="43"/>
    </row>
    <row r="11" spans="1:11" x14ac:dyDescent="0.2">
      <c r="A11" s="67" t="s">
        <v>126</v>
      </c>
      <c r="B11" s="36" t="str">
        <f>IF($A$2&gt;1973,"",1)</f>
        <v/>
      </c>
      <c r="C11" s="72" t="s">
        <v>100</v>
      </c>
    </row>
    <row r="12" spans="1:11" x14ac:dyDescent="0.2">
      <c r="B12" s="36">
        <f>IF(AND($A$2&gt;=1973,$A$2&lt;=1983),1,"")</f>
        <v>1</v>
      </c>
      <c r="C12" s="72" t="s">
        <v>128</v>
      </c>
      <c r="I12" s="14">
        <f>SUM(B123:B125)</f>
        <v>0</v>
      </c>
      <c r="J12" s="14">
        <f>SUM(B123:B125)</f>
        <v>0</v>
      </c>
    </row>
    <row r="13" spans="1:11" x14ac:dyDescent="0.2">
      <c r="B13" s="36" t="str">
        <f>IF(AND($A$2&gt;1983,$A$2&lt;1987),1,"")</f>
        <v/>
      </c>
      <c r="C13" s="72" t="s">
        <v>98</v>
      </c>
    </row>
    <row r="14" spans="1:11" x14ac:dyDescent="0.2">
      <c r="B14" s="36" t="str">
        <f>IF($A$2&gt;1986,1,"")</f>
        <v/>
      </c>
      <c r="C14" s="72" t="s">
        <v>99</v>
      </c>
    </row>
    <row r="15" spans="1:11" x14ac:dyDescent="0.2">
      <c r="A15" s="39"/>
    </row>
    <row r="16" spans="1:11" x14ac:dyDescent="0.2">
      <c r="A16" s="5" t="s">
        <v>0</v>
      </c>
      <c r="B16" s="36">
        <f>IF(B14=1,"",1)</f>
        <v>1</v>
      </c>
      <c r="C16" s="13" t="s">
        <v>101</v>
      </c>
      <c r="D16">
        <v>10</v>
      </c>
      <c r="E16">
        <f>D16</f>
        <v>10</v>
      </c>
      <c r="F16">
        <f>IF(B16&lt;&gt;"",B16*D16,"")</f>
        <v>10</v>
      </c>
    </row>
    <row r="17" spans="1:10" x14ac:dyDescent="0.2">
      <c r="A17" t="s">
        <v>1</v>
      </c>
      <c r="B17" s="36">
        <v>1</v>
      </c>
      <c r="C17" s="13" t="s">
        <v>102</v>
      </c>
      <c r="D17">
        <v>20</v>
      </c>
      <c r="E17">
        <f>D17</f>
        <v>20</v>
      </c>
      <c r="F17">
        <f>IF(B17&gt;0,B17*D17,"")</f>
        <v>20</v>
      </c>
    </row>
    <row r="18" spans="1:10" x14ac:dyDescent="0.2">
      <c r="A18" t="s">
        <v>5</v>
      </c>
      <c r="B18" s="57">
        <v>1</v>
      </c>
      <c r="C18" s="13" t="s">
        <v>76</v>
      </c>
      <c r="F18">
        <f>IF(B18&gt;0,B18*D18,"")</f>
        <v>0</v>
      </c>
    </row>
    <row r="19" spans="1:10" x14ac:dyDescent="0.2">
      <c r="A19" t="s">
        <v>6</v>
      </c>
      <c r="B19" s="36">
        <v>1</v>
      </c>
      <c r="C19" s="13" t="s">
        <v>77</v>
      </c>
      <c r="F19">
        <f>IF(B19&gt;0,B19*D19,"")</f>
        <v>0</v>
      </c>
      <c r="G19" s="1"/>
      <c r="H19" s="151"/>
    </row>
    <row r="20" spans="1:10" x14ac:dyDescent="0.2">
      <c r="B20" s="51"/>
      <c r="F20" t="str">
        <f>IF(B20&gt;0,B20*D20,"")</f>
        <v/>
      </c>
      <c r="G20" s="2">
        <f>SUM(F16:F19)</f>
        <v>30</v>
      </c>
      <c r="H20" s="152"/>
      <c r="J20" s="15"/>
    </row>
    <row r="21" spans="1:10" x14ac:dyDescent="0.2">
      <c r="A21" t="s">
        <v>3</v>
      </c>
      <c r="B21" s="65">
        <f>IF(SUM(B11:B13)&gt;0,1,"")</f>
        <v>1</v>
      </c>
      <c r="C21" s="12" t="s">
        <v>14</v>
      </c>
      <c r="D21">
        <v>388</v>
      </c>
      <c r="E21">
        <f t="shared" ref="E21:E46" si="0">D21</f>
        <v>388</v>
      </c>
      <c r="F21">
        <f>IF(B21=1,D21,"")</f>
        <v>388</v>
      </c>
    </row>
    <row r="22" spans="1:10" ht="25.5" x14ac:dyDescent="0.2">
      <c r="B22" s="36" t="str">
        <f>B14</f>
        <v/>
      </c>
      <c r="C22" s="13" t="s">
        <v>69</v>
      </c>
      <c r="D22">
        <v>588</v>
      </c>
      <c r="F22" t="str">
        <f t="shared" ref="F22:F35" si="1">IF(B22=1,B22*D22,"")</f>
        <v/>
      </c>
    </row>
    <row r="23" spans="1:10" x14ac:dyDescent="0.2">
      <c r="B23" s="36">
        <v>1</v>
      </c>
      <c r="C23" s="12" t="s">
        <v>8</v>
      </c>
      <c r="D23">
        <v>9</v>
      </c>
      <c r="E23">
        <f t="shared" si="0"/>
        <v>9</v>
      </c>
      <c r="F23">
        <f t="shared" si="1"/>
        <v>9</v>
      </c>
    </row>
    <row r="24" spans="1:10" x14ac:dyDescent="0.2">
      <c r="B24" s="36">
        <v>1</v>
      </c>
      <c r="C24" s="12" t="s">
        <v>12</v>
      </c>
      <c r="D24">
        <v>4</v>
      </c>
      <c r="E24">
        <f t="shared" si="0"/>
        <v>4</v>
      </c>
      <c r="F24">
        <f t="shared" si="1"/>
        <v>4</v>
      </c>
    </row>
    <row r="25" spans="1:10" x14ac:dyDescent="0.2">
      <c r="B25" s="36">
        <v>1</v>
      </c>
      <c r="C25" s="12" t="s">
        <v>9</v>
      </c>
      <c r="D25">
        <v>12</v>
      </c>
      <c r="E25">
        <f t="shared" si="0"/>
        <v>12</v>
      </c>
      <c r="F25">
        <f t="shared" si="1"/>
        <v>12</v>
      </c>
      <c r="G25" s="1"/>
      <c r="H25" s="151"/>
    </row>
    <row r="26" spans="1:10" x14ac:dyDescent="0.2">
      <c r="B26" s="51"/>
      <c r="F26" t="str">
        <f t="shared" si="1"/>
        <v/>
      </c>
      <c r="G26">
        <f>SUM(F21:F25)</f>
        <v>413</v>
      </c>
    </row>
    <row r="27" spans="1:10" x14ac:dyDescent="0.2">
      <c r="A27" t="s">
        <v>2</v>
      </c>
      <c r="B27" s="36">
        <v>1</v>
      </c>
      <c r="C27" s="13" t="s">
        <v>68</v>
      </c>
      <c r="D27">
        <v>160</v>
      </c>
      <c r="E27">
        <f t="shared" si="0"/>
        <v>160</v>
      </c>
      <c r="F27">
        <f t="shared" si="1"/>
        <v>160</v>
      </c>
      <c r="H27" s="153"/>
    </row>
    <row r="28" spans="1:10" x14ac:dyDescent="0.2">
      <c r="B28" s="36">
        <f>B27</f>
        <v>1</v>
      </c>
      <c r="C28" s="12" t="s">
        <v>10</v>
      </c>
      <c r="D28">
        <v>24</v>
      </c>
      <c r="E28">
        <f t="shared" si="0"/>
        <v>24</v>
      </c>
      <c r="F28">
        <f t="shared" si="1"/>
        <v>24</v>
      </c>
      <c r="G28" s="1"/>
      <c r="H28" s="151"/>
    </row>
    <row r="29" spans="1:10" x14ac:dyDescent="0.2">
      <c r="B29" s="51"/>
      <c r="F29" t="str">
        <f t="shared" si="1"/>
        <v/>
      </c>
      <c r="G29">
        <f>SUM(F27:F28)</f>
        <v>184</v>
      </c>
    </row>
    <row r="30" spans="1:10" x14ac:dyDescent="0.2">
      <c r="A30" t="s">
        <v>11</v>
      </c>
      <c r="B30" s="36">
        <f>IF(SUM(B11:B12)&gt;0,1,"")</f>
        <v>1</v>
      </c>
      <c r="C30" s="12" t="s">
        <v>129</v>
      </c>
      <c r="D30">
        <v>18</v>
      </c>
      <c r="E30">
        <f t="shared" si="0"/>
        <v>18</v>
      </c>
      <c r="F30">
        <f t="shared" si="1"/>
        <v>18</v>
      </c>
    </row>
    <row r="31" spans="1:10" x14ac:dyDescent="0.2">
      <c r="B31" s="36" t="str">
        <f>IF(B30=1,"",1)</f>
        <v/>
      </c>
      <c r="C31" s="12" t="s">
        <v>127</v>
      </c>
      <c r="D31">
        <v>18</v>
      </c>
      <c r="F31" t="str">
        <f t="shared" si="1"/>
        <v/>
      </c>
    </row>
    <row r="32" spans="1:10" x14ac:dyDescent="0.2">
      <c r="B32" s="36">
        <v>1</v>
      </c>
      <c r="C32" s="12" t="s">
        <v>4</v>
      </c>
      <c r="D32">
        <f>25+30</f>
        <v>55</v>
      </c>
      <c r="E32">
        <f t="shared" si="0"/>
        <v>55</v>
      </c>
      <c r="F32">
        <f t="shared" si="1"/>
        <v>55</v>
      </c>
    </row>
    <row r="33" spans="1:10" x14ac:dyDescent="0.2">
      <c r="B33" s="36" t="str">
        <f>B11</f>
        <v/>
      </c>
      <c r="C33" s="13" t="s">
        <v>110</v>
      </c>
      <c r="D33">
        <v>35</v>
      </c>
      <c r="E33">
        <f t="shared" si="0"/>
        <v>35</v>
      </c>
      <c r="F33" t="str">
        <f t="shared" si="1"/>
        <v/>
      </c>
    </row>
    <row r="34" spans="1:10" x14ac:dyDescent="0.2">
      <c r="B34" s="36">
        <f>B12</f>
        <v>1</v>
      </c>
      <c r="C34" s="13" t="s">
        <v>109</v>
      </c>
      <c r="D34">
        <v>35</v>
      </c>
      <c r="F34">
        <f t="shared" si="1"/>
        <v>35</v>
      </c>
    </row>
    <row r="35" spans="1:10" x14ac:dyDescent="0.2">
      <c r="B35" s="36" t="str">
        <f>IF(OR(B13=1,B14=1),1,"")</f>
        <v/>
      </c>
      <c r="C35" s="13" t="s">
        <v>108</v>
      </c>
      <c r="D35">
        <v>35</v>
      </c>
      <c r="F35" t="str">
        <f t="shared" si="1"/>
        <v/>
      </c>
      <c r="G35" s="1"/>
      <c r="H35" s="151"/>
    </row>
    <row r="36" spans="1:10" x14ac:dyDescent="0.2">
      <c r="B36" s="68"/>
      <c r="G36">
        <f>SUM(F30:F35)</f>
        <v>108</v>
      </c>
      <c r="H36" s="152"/>
    </row>
    <row r="37" spans="1:10" x14ac:dyDescent="0.2">
      <c r="B37" s="69"/>
    </row>
    <row r="38" spans="1:10" x14ac:dyDescent="0.2">
      <c r="A38" s="3" t="s">
        <v>7</v>
      </c>
      <c r="B38" s="36">
        <f>B21</f>
        <v>1</v>
      </c>
      <c r="C38" s="54" t="s">
        <v>70</v>
      </c>
      <c r="D38" s="3">
        <v>30</v>
      </c>
      <c r="E38">
        <f t="shared" si="0"/>
        <v>30</v>
      </c>
      <c r="F38">
        <f t="shared" ref="F38:F46" si="2">IF(B38=1,B38*D38,"")</f>
        <v>30</v>
      </c>
      <c r="G38" s="3"/>
      <c r="H38" s="153"/>
    </row>
    <row r="39" spans="1:10" s="3" customFormat="1" x14ac:dyDescent="0.2">
      <c r="B39" s="36" t="str">
        <f>B22</f>
        <v/>
      </c>
      <c r="C39" s="54" t="s">
        <v>71</v>
      </c>
      <c r="D39" s="3">
        <v>30</v>
      </c>
      <c r="E39"/>
      <c r="F39" t="str">
        <f t="shared" si="2"/>
        <v/>
      </c>
      <c r="H39" s="153"/>
      <c r="I39" s="14"/>
      <c r="J39" s="16"/>
    </row>
    <row r="40" spans="1:10" s="3" customFormat="1" x14ac:dyDescent="0.2">
      <c r="B40" s="36">
        <v>1</v>
      </c>
      <c r="C40" s="54" t="s">
        <v>78</v>
      </c>
      <c r="D40" s="3">
        <v>0</v>
      </c>
      <c r="E40">
        <f t="shared" si="0"/>
        <v>0</v>
      </c>
      <c r="F40">
        <f t="shared" si="2"/>
        <v>0</v>
      </c>
      <c r="G40" s="4"/>
      <c r="H40" s="154"/>
      <c r="I40" s="14"/>
      <c r="J40" s="16"/>
    </row>
    <row r="41" spans="1:10" s="3" customFormat="1" x14ac:dyDescent="0.2">
      <c r="A41"/>
      <c r="B41" s="69"/>
      <c r="C41" s="12"/>
      <c r="D41"/>
      <c r="E41"/>
      <c r="F41" t="str">
        <f t="shared" si="2"/>
        <v/>
      </c>
      <c r="G41">
        <f>SUM(F38:F40)</f>
        <v>30</v>
      </c>
      <c r="H41" s="150"/>
      <c r="I41" s="14"/>
      <c r="J41" s="16"/>
    </row>
    <row r="42" spans="1:10" x14ac:dyDescent="0.2">
      <c r="B42" s="69"/>
      <c r="F42" t="str">
        <f t="shared" si="2"/>
        <v/>
      </c>
    </row>
    <row r="43" spans="1:10" x14ac:dyDescent="0.2">
      <c r="A43" s="58" t="s">
        <v>73</v>
      </c>
      <c r="B43" s="36">
        <v>1</v>
      </c>
      <c r="C43" s="54" t="s">
        <v>72</v>
      </c>
      <c r="D43" s="3">
        <v>50</v>
      </c>
      <c r="E43">
        <f t="shared" si="0"/>
        <v>50</v>
      </c>
      <c r="F43">
        <f t="shared" si="2"/>
        <v>50</v>
      </c>
      <c r="G43" s="3"/>
      <c r="H43" s="153"/>
    </row>
    <row r="44" spans="1:10" s="3" customFormat="1" x14ac:dyDescent="0.2">
      <c r="A44"/>
      <c r="B44" s="35">
        <v>1</v>
      </c>
      <c r="C44" s="13" t="s">
        <v>111</v>
      </c>
      <c r="D44">
        <v>12</v>
      </c>
      <c r="E44">
        <f t="shared" si="0"/>
        <v>12</v>
      </c>
      <c r="F44">
        <f t="shared" si="2"/>
        <v>12</v>
      </c>
      <c r="G44"/>
      <c r="H44" s="150"/>
      <c r="I44" s="16"/>
      <c r="J44" s="16"/>
    </row>
    <row r="45" spans="1:10" x14ac:dyDescent="0.2">
      <c r="B45" s="35">
        <v>1</v>
      </c>
      <c r="C45" s="13" t="s">
        <v>75</v>
      </c>
      <c r="D45">
        <v>95</v>
      </c>
      <c r="E45">
        <f t="shared" si="0"/>
        <v>95</v>
      </c>
      <c r="F45">
        <f t="shared" si="2"/>
        <v>95</v>
      </c>
      <c r="I45" s="8"/>
    </row>
    <row r="46" spans="1:10" x14ac:dyDescent="0.2">
      <c r="B46" s="35">
        <v>1</v>
      </c>
      <c r="C46" s="13" t="s">
        <v>74</v>
      </c>
      <c r="D46">
        <v>105</v>
      </c>
      <c r="E46">
        <f t="shared" si="0"/>
        <v>105</v>
      </c>
      <c r="F46">
        <f t="shared" si="2"/>
        <v>105</v>
      </c>
      <c r="I46" s="8"/>
    </row>
    <row r="47" spans="1:10" ht="13.5" thickBot="1" x14ac:dyDescent="0.25">
      <c r="F47" t="str">
        <f>IF(B47&gt;0,B47*D47,"")</f>
        <v/>
      </c>
      <c r="G47" s="2">
        <f>SUM(F43:F46)</f>
        <v>262</v>
      </c>
      <c r="H47" s="152"/>
      <c r="I47" s="8"/>
    </row>
    <row r="48" spans="1:10" ht="13.5" thickBot="1" x14ac:dyDescent="0.25">
      <c r="A48" s="71" t="s">
        <v>31</v>
      </c>
      <c r="B48" s="22"/>
      <c r="C48" s="23"/>
      <c r="D48" s="24"/>
      <c r="E48" s="2">
        <f>SUM(E16:E47)</f>
        <v>1027</v>
      </c>
      <c r="F48" s="2">
        <f>SUM(F16:F47)</f>
        <v>1027</v>
      </c>
      <c r="G48" s="24">
        <f>SUM(G16:G47)</f>
        <v>1027</v>
      </c>
      <c r="H48" s="155"/>
      <c r="I48" s="25"/>
      <c r="J48" s="30">
        <f>1895+G48-E48</f>
        <v>1895</v>
      </c>
    </row>
    <row r="49" spans="1:12" x14ac:dyDescent="0.2">
      <c r="C49"/>
      <c r="F49" t="str">
        <f t="shared" ref="F49:F59" si="3">IF(B49&gt;0,B49*D49,"")</f>
        <v/>
      </c>
    </row>
    <row r="50" spans="1:12" x14ac:dyDescent="0.2">
      <c r="F50" t="str">
        <f t="shared" si="3"/>
        <v/>
      </c>
    </row>
    <row r="51" spans="1:12" x14ac:dyDescent="0.2">
      <c r="A51" s="39" t="s">
        <v>23</v>
      </c>
      <c r="B51" s="35"/>
      <c r="C51" s="13" t="s">
        <v>112</v>
      </c>
      <c r="D51">
        <v>428</v>
      </c>
      <c r="F51" t="str">
        <f t="shared" si="3"/>
        <v/>
      </c>
      <c r="H51" s="150">
        <v>699</v>
      </c>
      <c r="I51" s="21" t="str">
        <f t="shared" ref="I51:I56" si="4">IF(B51=1,B51*H51,"")</f>
        <v/>
      </c>
      <c r="J51" s="16"/>
    </row>
    <row r="52" spans="1:12" x14ac:dyDescent="0.2">
      <c r="B52" s="35"/>
      <c r="C52" s="12" t="s">
        <v>92</v>
      </c>
      <c r="F52" t="str">
        <f t="shared" si="3"/>
        <v/>
      </c>
      <c r="H52" s="156">
        <v>1695</v>
      </c>
      <c r="I52" s="21" t="str">
        <f t="shared" si="4"/>
        <v/>
      </c>
      <c r="J52" s="16"/>
    </row>
    <row r="53" spans="1:12" x14ac:dyDescent="0.2">
      <c r="B53" s="35">
        <v>1</v>
      </c>
      <c r="C53" s="13" t="s">
        <v>116</v>
      </c>
      <c r="D53">
        <v>150</v>
      </c>
      <c r="F53">
        <f t="shared" si="3"/>
        <v>150</v>
      </c>
      <c r="H53" s="150">
        <v>395</v>
      </c>
      <c r="I53" s="21">
        <f t="shared" si="4"/>
        <v>395</v>
      </c>
      <c r="J53" s="16"/>
    </row>
    <row r="54" spans="1:12" x14ac:dyDescent="0.2">
      <c r="B54" s="35">
        <v>1</v>
      </c>
      <c r="C54" s="13" t="s">
        <v>115</v>
      </c>
      <c r="D54">
        <v>35</v>
      </c>
      <c r="F54">
        <f t="shared" si="3"/>
        <v>35</v>
      </c>
      <c r="H54" s="150">
        <v>89</v>
      </c>
      <c r="I54" s="21">
        <f t="shared" si="4"/>
        <v>89</v>
      </c>
      <c r="J54" s="16"/>
    </row>
    <row r="55" spans="1:12" ht="14.25" customHeight="1" x14ac:dyDescent="0.2">
      <c r="B55" s="35">
        <v>1</v>
      </c>
      <c r="C55" s="13" t="s">
        <v>117</v>
      </c>
      <c r="D55">
        <v>110</v>
      </c>
      <c r="F55">
        <f t="shared" si="3"/>
        <v>110</v>
      </c>
      <c r="H55" s="150">
        <v>195</v>
      </c>
      <c r="I55" s="21">
        <f t="shared" si="4"/>
        <v>195</v>
      </c>
      <c r="J55" s="16"/>
    </row>
    <row r="56" spans="1:12" x14ac:dyDescent="0.2">
      <c r="B56" s="35">
        <v>1</v>
      </c>
      <c r="C56" s="13" t="s">
        <v>113</v>
      </c>
      <c r="D56">
        <v>6</v>
      </c>
      <c r="F56">
        <f t="shared" si="3"/>
        <v>6</v>
      </c>
      <c r="H56" s="150">
        <v>39</v>
      </c>
      <c r="I56" s="21">
        <f t="shared" si="4"/>
        <v>39</v>
      </c>
      <c r="J56" s="16"/>
    </row>
    <row r="57" spans="1:12" x14ac:dyDescent="0.2">
      <c r="B57" s="35">
        <v>1</v>
      </c>
      <c r="C57" s="13" t="s">
        <v>88</v>
      </c>
      <c r="D57">
        <v>0</v>
      </c>
      <c r="F57">
        <f t="shared" si="3"/>
        <v>0</v>
      </c>
      <c r="H57" s="151">
        <v>50</v>
      </c>
      <c r="I57" s="17">
        <f>H57*B57</f>
        <v>50</v>
      </c>
      <c r="J57" s="19"/>
    </row>
    <row r="58" spans="1:12" x14ac:dyDescent="0.2">
      <c r="B58"/>
      <c r="F58" t="str">
        <f t="shared" si="3"/>
        <v/>
      </c>
      <c r="G58">
        <f>SUM(F51:F57)</f>
        <v>301</v>
      </c>
      <c r="I58" s="16"/>
      <c r="J58" s="16">
        <f>SUM(I51:I57)</f>
        <v>768</v>
      </c>
    </row>
    <row r="59" spans="1:12" x14ac:dyDescent="0.2">
      <c r="B59"/>
      <c r="C59" s="13"/>
      <c r="F59" t="str">
        <f t="shared" si="3"/>
        <v/>
      </c>
      <c r="I59" s="16"/>
    </row>
    <row r="60" spans="1:12" x14ac:dyDescent="0.2">
      <c r="A60" s="39" t="s">
        <v>22</v>
      </c>
      <c r="B60" s="7">
        <f>IF(AND(B53=1,(B54+B55&gt;=2)),1,"")</f>
        <v>1</v>
      </c>
      <c r="C60" s="74" t="s">
        <v>114</v>
      </c>
      <c r="H60" s="14">
        <f>-76-I57-IF(B56&gt;0,24,0)</f>
        <v>-150</v>
      </c>
      <c r="I60" s="16">
        <f>IF(B60=1,B60*H60,"")</f>
        <v>-150</v>
      </c>
    </row>
    <row r="61" spans="1:12" ht="15" x14ac:dyDescent="0.35">
      <c r="B61" s="7" t="str">
        <f>IF(SUM(I60:I60)=0,B53,"")</f>
        <v/>
      </c>
      <c r="C61" s="12" t="s">
        <v>32</v>
      </c>
      <c r="H61" s="17">
        <v>-50</v>
      </c>
      <c r="I61" s="73" t="str">
        <f>IF(B61=1,B61*H61,"")</f>
        <v/>
      </c>
      <c r="J61" s="17"/>
    </row>
    <row r="62" spans="1:12" s="5" customFormat="1" x14ac:dyDescent="0.2">
      <c r="A62"/>
      <c r="B62" s="6"/>
      <c r="C62" s="12"/>
      <c r="D62"/>
      <c r="E62"/>
      <c r="F62" t="str">
        <f>IF(B62&gt;0,B62*D62,"")</f>
        <v/>
      </c>
      <c r="G62"/>
      <c r="H62" s="152"/>
      <c r="I62" s="15"/>
      <c r="J62" s="10">
        <f>SUM(I60:I60)</f>
        <v>-150</v>
      </c>
      <c r="L62" s="20"/>
    </row>
    <row r="63" spans="1:12" x14ac:dyDescent="0.2">
      <c r="F63" t="str">
        <f>IF(B63&gt;0,B63*D63,"")</f>
        <v/>
      </c>
    </row>
    <row r="64" spans="1:12" x14ac:dyDescent="0.2">
      <c r="B64"/>
      <c r="C64" s="13"/>
      <c r="F64" t="str">
        <f>IF(B64&gt;0,B64*D64,"")</f>
        <v/>
      </c>
      <c r="I64" s="16"/>
      <c r="J64" s="16"/>
      <c r="K64" s="20"/>
    </row>
    <row r="65" spans="1:11" x14ac:dyDescent="0.2">
      <c r="A65" s="39" t="s">
        <v>24</v>
      </c>
      <c r="B65" s="50"/>
      <c r="C65" s="13" t="s">
        <v>93</v>
      </c>
      <c r="D65">
        <v>140</v>
      </c>
      <c r="F65" t="str">
        <f>IF(B65&gt;0,B65*D65,"")</f>
        <v/>
      </c>
      <c r="H65" s="150">
        <v>299</v>
      </c>
      <c r="I65" s="16" t="str">
        <f t="shared" ref="I65:I67" si="5">IF(B65&gt;0,B65*H65,"")</f>
        <v/>
      </c>
      <c r="J65" s="16"/>
    </row>
    <row r="66" spans="1:11" s="79" customFormat="1" ht="12" customHeight="1" x14ac:dyDescent="0.2">
      <c r="A66" s="87"/>
      <c r="B66" s="105"/>
      <c r="C66" s="13" t="s">
        <v>134</v>
      </c>
      <c r="H66" s="93">
        <v>195</v>
      </c>
      <c r="I66" s="16" t="str">
        <f t="shared" si="5"/>
        <v/>
      </c>
      <c r="J66" s="102"/>
    </row>
    <row r="67" spans="1:11" x14ac:dyDescent="0.2">
      <c r="B67" s="35"/>
      <c r="C67" s="12" t="s">
        <v>120</v>
      </c>
      <c r="H67" s="157">
        <v>85</v>
      </c>
      <c r="I67" s="16" t="str">
        <f t="shared" si="5"/>
        <v/>
      </c>
      <c r="J67" s="16"/>
    </row>
    <row r="68" spans="1:11" x14ac:dyDescent="0.2">
      <c r="B68" s="35">
        <v>1</v>
      </c>
      <c r="C68" s="12" t="s">
        <v>15</v>
      </c>
      <c r="D68">
        <v>98</v>
      </c>
      <c r="F68">
        <f>IF(B68&gt;0,B68*D68,"")</f>
        <v>98</v>
      </c>
      <c r="H68" s="150">
        <v>139</v>
      </c>
      <c r="I68" s="16">
        <f t="shared" ref="I68:I86" si="6">IF(B68&gt;0,B68*H68,"")</f>
        <v>139</v>
      </c>
      <c r="J68" s="16"/>
    </row>
    <row r="69" spans="1:11" x14ac:dyDescent="0.2">
      <c r="B69" s="35"/>
      <c r="C69" s="12" t="s">
        <v>140</v>
      </c>
      <c r="H69" s="150">
        <v>48</v>
      </c>
      <c r="I69" s="16" t="str">
        <f t="shared" si="6"/>
        <v/>
      </c>
      <c r="J69" s="16"/>
    </row>
    <row r="70" spans="1:11" x14ac:dyDescent="0.2">
      <c r="B70" s="35"/>
      <c r="C70" s="12" t="s">
        <v>141</v>
      </c>
      <c r="H70" s="150">
        <v>48</v>
      </c>
      <c r="I70" s="16" t="str">
        <f t="shared" si="6"/>
        <v/>
      </c>
      <c r="J70" s="16"/>
    </row>
    <row r="71" spans="1:11" x14ac:dyDescent="0.2">
      <c r="B71" s="35"/>
      <c r="C71" s="12" t="s">
        <v>142</v>
      </c>
      <c r="H71" s="150">
        <v>36</v>
      </c>
      <c r="I71" s="16" t="str">
        <f t="shared" si="6"/>
        <v/>
      </c>
      <c r="J71" s="16"/>
    </row>
    <row r="72" spans="1:11" x14ac:dyDescent="0.2">
      <c r="B72" s="35"/>
      <c r="C72" s="12" t="s">
        <v>18</v>
      </c>
      <c r="D72">
        <v>93</v>
      </c>
      <c r="F72" t="str">
        <f>IF(B72&gt;0,B72*D72,"")</f>
        <v/>
      </c>
      <c r="H72" s="150">
        <v>199</v>
      </c>
      <c r="I72" s="16" t="str">
        <f t="shared" si="6"/>
        <v/>
      </c>
      <c r="J72" s="16"/>
    </row>
    <row r="73" spans="1:11" x14ac:dyDescent="0.2">
      <c r="A73" s="5"/>
      <c r="B73" s="37"/>
      <c r="C73" s="13" t="s">
        <v>16</v>
      </c>
      <c r="D73" s="5"/>
      <c r="E73" s="5"/>
      <c r="F73" t="str">
        <f>IF(B73&gt;0,B73*D73,"")</f>
        <v/>
      </c>
      <c r="G73" s="5"/>
      <c r="H73" s="156">
        <v>55</v>
      </c>
      <c r="I73" s="16" t="str">
        <f t="shared" si="6"/>
        <v/>
      </c>
      <c r="J73" s="9"/>
      <c r="K73" s="5"/>
    </row>
    <row r="74" spans="1:11" ht="38.25" x14ac:dyDescent="0.2">
      <c r="A74" s="5"/>
      <c r="B74" s="37"/>
      <c r="C74" s="13" t="s">
        <v>79</v>
      </c>
      <c r="D74" s="5"/>
      <c r="E74" s="5"/>
      <c r="G74" s="5"/>
      <c r="H74" s="156">
        <f>7*22+24*4+28+35-64</f>
        <v>249</v>
      </c>
      <c r="I74" s="16" t="str">
        <f t="shared" si="6"/>
        <v/>
      </c>
      <c r="J74" s="9"/>
      <c r="K74" s="5"/>
    </row>
    <row r="75" spans="1:11" x14ac:dyDescent="0.2">
      <c r="B75" s="35"/>
      <c r="C75" s="13" t="s">
        <v>80</v>
      </c>
      <c r="D75" s="5">
        <v>65</v>
      </c>
      <c r="E75" s="5"/>
      <c r="F75" t="str">
        <f>IF(B75&gt;0,B75*D75,"")</f>
        <v/>
      </c>
      <c r="H75" s="150">
        <v>145</v>
      </c>
      <c r="I75" s="16" t="str">
        <f t="shared" si="6"/>
        <v/>
      </c>
      <c r="J75" s="16"/>
    </row>
    <row r="76" spans="1:11" x14ac:dyDescent="0.2">
      <c r="B76" s="35"/>
      <c r="C76" s="13" t="s">
        <v>130</v>
      </c>
      <c r="D76" s="5"/>
      <c r="E76" s="5"/>
      <c r="H76" s="150">
        <v>160</v>
      </c>
      <c r="I76" s="16" t="str">
        <f t="shared" si="6"/>
        <v/>
      </c>
      <c r="J76" s="16"/>
    </row>
    <row r="77" spans="1:11" x14ac:dyDescent="0.2">
      <c r="B77" s="35"/>
      <c r="C77" s="13" t="s">
        <v>83</v>
      </c>
      <c r="D77" s="5">
        <v>30</v>
      </c>
      <c r="E77" s="5"/>
      <c r="F77" t="str">
        <f>IF(B77&gt;0,B77*D77,"")</f>
        <v/>
      </c>
      <c r="H77" s="150">
        <v>127</v>
      </c>
      <c r="I77" s="16" t="str">
        <f t="shared" si="6"/>
        <v/>
      </c>
      <c r="J77" s="16"/>
    </row>
    <row r="78" spans="1:11" x14ac:dyDescent="0.2">
      <c r="B78" s="35">
        <v>1</v>
      </c>
      <c r="C78" s="13" t="s">
        <v>42</v>
      </c>
      <c r="F78">
        <f>IF(B78&gt;0,B78*D78,"")</f>
        <v>0</v>
      </c>
      <c r="H78" s="150">
        <v>28</v>
      </c>
      <c r="I78" s="16">
        <f t="shared" si="6"/>
        <v>28</v>
      </c>
      <c r="J78" s="16"/>
    </row>
    <row r="79" spans="1:11" x14ac:dyDescent="0.2">
      <c r="B79" s="35"/>
      <c r="C79" s="13" t="s">
        <v>81</v>
      </c>
      <c r="F79" t="str">
        <f>IF(B79&gt;0,B79*D79,"")</f>
        <v/>
      </c>
      <c r="H79" s="150">
        <v>14</v>
      </c>
      <c r="I79" s="16" t="str">
        <f t="shared" si="6"/>
        <v/>
      </c>
      <c r="J79" s="16"/>
    </row>
    <row r="80" spans="1:11" x14ac:dyDescent="0.2">
      <c r="B80" s="35">
        <v>1</v>
      </c>
      <c r="C80" s="13" t="s">
        <v>82</v>
      </c>
      <c r="H80" s="150">
        <v>29</v>
      </c>
      <c r="I80" s="16">
        <f t="shared" si="6"/>
        <v>29</v>
      </c>
      <c r="J80" s="16"/>
    </row>
    <row r="81" spans="1:11" x14ac:dyDescent="0.2">
      <c r="A81" s="39" t="s">
        <v>121</v>
      </c>
      <c r="B81" s="35"/>
      <c r="C81" s="55"/>
      <c r="D81" s="35"/>
      <c r="E81" s="66"/>
      <c r="G81" s="35"/>
      <c r="H81" s="145"/>
      <c r="I81" s="16" t="str">
        <f t="shared" si="6"/>
        <v/>
      </c>
      <c r="J81" s="16"/>
    </row>
    <row r="82" spans="1:11" x14ac:dyDescent="0.2">
      <c r="B82" s="35"/>
      <c r="C82" s="55"/>
      <c r="D82" s="35"/>
      <c r="E82" s="66"/>
      <c r="G82" s="35"/>
      <c r="H82" s="145"/>
      <c r="I82" s="16" t="str">
        <f t="shared" si="6"/>
        <v/>
      </c>
      <c r="J82" s="16"/>
    </row>
    <row r="83" spans="1:11" x14ac:dyDescent="0.2">
      <c r="B83" s="35"/>
      <c r="C83" s="55"/>
      <c r="D83" s="35"/>
      <c r="E83" s="66"/>
      <c r="G83" s="35"/>
      <c r="H83" s="145"/>
      <c r="I83" s="16" t="str">
        <f t="shared" si="6"/>
        <v/>
      </c>
      <c r="J83" s="16"/>
    </row>
    <row r="84" spans="1:11" x14ac:dyDescent="0.2">
      <c r="B84" s="35"/>
      <c r="C84" s="47"/>
      <c r="D84" s="35"/>
      <c r="E84" s="66"/>
      <c r="G84" s="35"/>
      <c r="H84" s="145"/>
      <c r="I84" s="16" t="str">
        <f t="shared" si="6"/>
        <v/>
      </c>
      <c r="J84" s="16"/>
    </row>
    <row r="85" spans="1:11" x14ac:dyDescent="0.2">
      <c r="B85" s="35"/>
      <c r="C85" s="47"/>
      <c r="D85" s="35"/>
      <c r="E85" s="66"/>
      <c r="G85" s="35"/>
      <c r="H85" s="145"/>
      <c r="I85" s="16" t="str">
        <f t="shared" si="6"/>
        <v/>
      </c>
      <c r="J85" s="16"/>
    </row>
    <row r="86" spans="1:11" x14ac:dyDescent="0.2">
      <c r="B86" s="35"/>
      <c r="C86" s="55"/>
      <c r="D86" s="35"/>
      <c r="E86" s="66"/>
      <c r="G86" s="35"/>
      <c r="H86" s="145"/>
      <c r="I86" s="16" t="str">
        <f t="shared" si="6"/>
        <v/>
      </c>
      <c r="J86" s="19"/>
    </row>
    <row r="87" spans="1:11" ht="13.5" thickBot="1" x14ac:dyDescent="0.25">
      <c r="B87" s="18"/>
      <c r="F87" t="str">
        <f>IF(B87&gt;0,B87*D87,"")</f>
        <v/>
      </c>
      <c r="H87" s="152"/>
      <c r="I87" s="21"/>
      <c r="J87" s="21">
        <f>SUM(I65:I86)</f>
        <v>196</v>
      </c>
    </row>
    <row r="88" spans="1:11" ht="13.5" thickBot="1" x14ac:dyDescent="0.25">
      <c r="A88" s="70" t="s">
        <v>28</v>
      </c>
      <c r="B88" s="24"/>
      <c r="C88" s="32"/>
      <c r="D88" s="24"/>
      <c r="E88" s="2"/>
      <c r="F88" t="str">
        <f>IF(B88&gt;0,B88*D88,"")</f>
        <v/>
      </c>
      <c r="G88" s="24"/>
      <c r="H88" s="155"/>
      <c r="I88" s="27"/>
      <c r="J88" s="27"/>
      <c r="K88" s="26">
        <f>SUM(J48:J87)</f>
        <v>2709</v>
      </c>
    </row>
    <row r="89" spans="1:11" x14ac:dyDescent="0.2">
      <c r="A89" s="2"/>
      <c r="B89" s="2"/>
      <c r="C89" s="33"/>
      <c r="D89" s="2"/>
      <c r="E89" s="2"/>
      <c r="F89" t="str">
        <f>IF(B89&gt;0,B89*D89,"")</f>
        <v/>
      </c>
      <c r="G89" s="2"/>
      <c r="H89" s="152"/>
      <c r="I89" s="21"/>
      <c r="J89" s="21"/>
      <c r="K89" s="34"/>
    </row>
    <row r="90" spans="1:11" x14ac:dyDescent="0.2">
      <c r="B90" s="18"/>
      <c r="F90" t="str">
        <f>IF(B90&gt;0,B90*D90,"")</f>
        <v/>
      </c>
      <c r="I90" s="16"/>
      <c r="K90" s="16"/>
    </row>
    <row r="91" spans="1:11" x14ac:dyDescent="0.2">
      <c r="A91" s="39" t="s">
        <v>26</v>
      </c>
      <c r="B91" s="13"/>
      <c r="C91" s="13"/>
      <c r="I91" s="16" t="str">
        <f t="shared" ref="I91:I105" si="7">IF(B91&gt;0,B91*H91,"")</f>
        <v/>
      </c>
      <c r="J91" s="16"/>
    </row>
    <row r="92" spans="1:11" x14ac:dyDescent="0.2">
      <c r="B92" s="35"/>
      <c r="C92" s="3" t="s">
        <v>59</v>
      </c>
      <c r="H92" s="150">
        <v>1695</v>
      </c>
      <c r="I92" s="16" t="str">
        <f t="shared" si="7"/>
        <v/>
      </c>
      <c r="J92" s="16"/>
    </row>
    <row r="93" spans="1:11" x14ac:dyDescent="0.2">
      <c r="B93" s="35"/>
      <c r="C93" s="3" t="s">
        <v>58</v>
      </c>
      <c r="D93">
        <v>1650</v>
      </c>
      <c r="F93" t="str">
        <f>IF(B93&gt;0,B93*D93,"")</f>
        <v/>
      </c>
      <c r="H93" s="150">
        <v>2895</v>
      </c>
      <c r="I93" s="16" t="str">
        <f t="shared" si="7"/>
        <v/>
      </c>
      <c r="J93" s="16"/>
    </row>
    <row r="94" spans="1:11" x14ac:dyDescent="0.2">
      <c r="B94" s="35"/>
      <c r="C94" s="3" t="s">
        <v>103</v>
      </c>
      <c r="H94" s="150">
        <v>2895</v>
      </c>
      <c r="I94" s="16" t="str">
        <f t="shared" si="7"/>
        <v/>
      </c>
      <c r="J94" s="16"/>
    </row>
    <row r="95" spans="1:11" x14ac:dyDescent="0.2">
      <c r="B95" s="35"/>
      <c r="C95" s="13" t="s">
        <v>61</v>
      </c>
      <c r="H95" s="150">
        <v>2995</v>
      </c>
      <c r="I95" s="16" t="str">
        <f t="shared" si="7"/>
        <v/>
      </c>
      <c r="J95" s="16"/>
    </row>
    <row r="96" spans="1:11" x14ac:dyDescent="0.2">
      <c r="B96" s="35"/>
      <c r="C96" s="13" t="s">
        <v>62</v>
      </c>
      <c r="D96">
        <v>73</v>
      </c>
      <c r="F96" t="str">
        <f>IF(B96&gt;0,B96*D96,"")</f>
        <v/>
      </c>
      <c r="H96" s="152" t="s">
        <v>125</v>
      </c>
      <c r="I96" s="16" t="str">
        <f t="shared" si="7"/>
        <v/>
      </c>
      <c r="J96" s="21"/>
      <c r="K96" s="2"/>
    </row>
    <row r="97" spans="1:11" x14ac:dyDescent="0.2">
      <c r="B97" s="35"/>
      <c r="C97" s="13" t="s">
        <v>63</v>
      </c>
      <c r="H97" s="150">
        <v>395</v>
      </c>
      <c r="I97" s="16" t="str">
        <f t="shared" si="7"/>
        <v/>
      </c>
      <c r="J97" s="16"/>
    </row>
    <row r="98" spans="1:11" x14ac:dyDescent="0.2">
      <c r="B98" s="35"/>
      <c r="C98" s="13" t="s">
        <v>64</v>
      </c>
      <c r="H98" s="150">
        <v>495</v>
      </c>
      <c r="I98" s="16" t="str">
        <f t="shared" si="7"/>
        <v/>
      </c>
      <c r="J98" s="16"/>
    </row>
    <row r="99" spans="1:11" ht="25.5" x14ac:dyDescent="0.2">
      <c r="B99" s="35">
        <v>1</v>
      </c>
      <c r="C99" s="13" t="s">
        <v>85</v>
      </c>
      <c r="H99" s="150">
        <v>1995</v>
      </c>
      <c r="I99" s="16">
        <f t="shared" si="7"/>
        <v>1995</v>
      </c>
      <c r="J99" s="16"/>
    </row>
    <row r="100" spans="1:11" x14ac:dyDescent="0.2">
      <c r="B100" s="35">
        <v>1</v>
      </c>
      <c r="C100" s="13" t="s">
        <v>122</v>
      </c>
      <c r="H100" s="150">
        <v>125</v>
      </c>
      <c r="I100" s="16">
        <f t="shared" si="7"/>
        <v>125</v>
      </c>
      <c r="J100" s="16"/>
    </row>
    <row r="101" spans="1:11" x14ac:dyDescent="0.2">
      <c r="B101" s="35">
        <v>1</v>
      </c>
      <c r="C101" s="13" t="s">
        <v>84</v>
      </c>
      <c r="D101">
        <v>50</v>
      </c>
      <c r="F101">
        <f>IF(B101&gt;0,B101*D101,"")</f>
        <v>50</v>
      </c>
      <c r="H101" s="150">
        <v>139</v>
      </c>
      <c r="I101" s="16">
        <f t="shared" si="7"/>
        <v>139</v>
      </c>
      <c r="J101" s="16"/>
    </row>
    <row r="102" spans="1:11" x14ac:dyDescent="0.2">
      <c r="B102" s="35"/>
      <c r="C102" s="3" t="s">
        <v>60</v>
      </c>
      <c r="H102" s="159">
        <v>1195</v>
      </c>
      <c r="I102" s="16" t="str">
        <f t="shared" si="7"/>
        <v/>
      </c>
      <c r="J102" s="21"/>
      <c r="K102" s="2"/>
    </row>
    <row r="103" spans="1:11" x14ac:dyDescent="0.2">
      <c r="B103" s="35"/>
      <c r="C103" s="3" t="s">
        <v>86</v>
      </c>
      <c r="H103" s="159">
        <v>199</v>
      </c>
      <c r="I103" s="16" t="str">
        <f t="shared" si="7"/>
        <v/>
      </c>
      <c r="J103" s="21"/>
      <c r="K103" s="2"/>
    </row>
    <row r="104" spans="1:11" ht="15" customHeight="1" x14ac:dyDescent="0.2">
      <c r="B104" s="35"/>
      <c r="C104" s="58" t="s">
        <v>160</v>
      </c>
      <c r="H104" s="150">
        <v>350</v>
      </c>
      <c r="I104" s="16" t="str">
        <f t="shared" si="7"/>
        <v/>
      </c>
      <c r="J104" s="16"/>
    </row>
    <row r="105" spans="1:11" ht="13.5" thickBot="1" x14ac:dyDescent="0.25">
      <c r="B105" s="35"/>
      <c r="C105" s="13" t="s">
        <v>159</v>
      </c>
      <c r="H105" s="150">
        <v>250</v>
      </c>
      <c r="I105" s="16" t="str">
        <f t="shared" si="7"/>
        <v/>
      </c>
      <c r="J105" s="16"/>
    </row>
    <row r="106" spans="1:11" ht="13.5" thickBot="1" x14ac:dyDescent="0.25">
      <c r="A106" s="70" t="s">
        <v>30</v>
      </c>
      <c r="B106" s="60"/>
      <c r="C106" s="24"/>
      <c r="D106" s="24"/>
      <c r="E106" s="2"/>
      <c r="F106" t="str">
        <f>IF(B106&gt;0,B106*D106,"")</f>
        <v/>
      </c>
      <c r="G106" s="24">
        <f>SUM(D91:D105)</f>
        <v>1773</v>
      </c>
      <c r="H106" s="155"/>
      <c r="I106" s="24"/>
      <c r="J106" s="25"/>
      <c r="K106" s="30">
        <f>SUM(I91:I105)</f>
        <v>2259</v>
      </c>
    </row>
    <row r="107" spans="1:11" x14ac:dyDescent="0.2">
      <c r="A107" s="162"/>
      <c r="B107" s="2"/>
      <c r="C107" s="2"/>
      <c r="D107" s="2"/>
      <c r="E107" s="2"/>
      <c r="G107" s="2"/>
      <c r="H107" s="152"/>
      <c r="I107" s="2"/>
      <c r="J107" s="15"/>
      <c r="K107" s="15"/>
    </row>
    <row r="108" spans="1:11" x14ac:dyDescent="0.2">
      <c r="A108" s="163" t="s">
        <v>50</v>
      </c>
      <c r="B108"/>
      <c r="F108" t="str">
        <f>IF(B108&gt;0,B108*D108,"")</f>
        <v/>
      </c>
      <c r="I108" s="16"/>
      <c r="J108" s="16"/>
    </row>
    <row r="109" spans="1:11" ht="12.75" customHeight="1" x14ac:dyDescent="0.2">
      <c r="A109" s="239" t="s">
        <v>155</v>
      </c>
      <c r="B109" s="35"/>
      <c r="C109" s="33" t="s">
        <v>156</v>
      </c>
      <c r="D109" s="2"/>
      <c r="E109" s="2"/>
      <c r="F109" t="s">
        <v>124</v>
      </c>
      <c r="G109" s="2"/>
      <c r="H109" s="152">
        <v>895</v>
      </c>
      <c r="I109" s="16" t="str">
        <f t="shared" ref="I109:I120" si="8">IF(B109&gt;0,B109*H109,"")</f>
        <v/>
      </c>
      <c r="J109" s="16"/>
    </row>
    <row r="110" spans="1:11" ht="25.5" x14ac:dyDescent="0.2">
      <c r="A110" s="239"/>
      <c r="B110" s="35"/>
      <c r="C110" s="29" t="s">
        <v>233</v>
      </c>
      <c r="D110" s="2"/>
      <c r="E110" s="2"/>
      <c r="G110" s="2"/>
      <c r="H110" s="159">
        <v>995</v>
      </c>
      <c r="I110" s="16" t="str">
        <f t="shared" si="8"/>
        <v/>
      </c>
      <c r="J110" s="16"/>
    </row>
    <row r="111" spans="1:11" ht="25.5" x14ac:dyDescent="0.2">
      <c r="A111" s="239"/>
      <c r="B111" s="35"/>
      <c r="C111" s="29" t="s">
        <v>234</v>
      </c>
      <c r="D111" s="2"/>
      <c r="E111" s="2"/>
      <c r="G111" s="2"/>
      <c r="H111" s="159">
        <v>1395</v>
      </c>
      <c r="I111" s="16" t="str">
        <f t="shared" si="8"/>
        <v/>
      </c>
      <c r="J111" s="16"/>
    </row>
    <row r="112" spans="1:11" x14ac:dyDescent="0.2">
      <c r="A112" s="239"/>
      <c r="B112" s="35"/>
      <c r="C112" s="13" t="s">
        <v>184</v>
      </c>
      <c r="D112" s="2"/>
      <c r="E112" s="2"/>
      <c r="G112" s="2"/>
      <c r="H112" s="152">
        <v>995</v>
      </c>
      <c r="I112" s="16" t="str">
        <f t="shared" si="8"/>
        <v/>
      </c>
      <c r="J112" s="16"/>
    </row>
    <row r="113" spans="1:11" x14ac:dyDescent="0.2">
      <c r="A113" s="239"/>
      <c r="B113" s="35"/>
      <c r="C113" s="13" t="s">
        <v>185</v>
      </c>
      <c r="D113" s="2"/>
      <c r="E113" s="2"/>
      <c r="F113" t="s">
        <v>124</v>
      </c>
      <c r="G113" s="2"/>
      <c r="H113" s="152">
        <v>995</v>
      </c>
      <c r="I113" s="16" t="str">
        <f t="shared" si="8"/>
        <v/>
      </c>
      <c r="J113" s="16"/>
    </row>
    <row r="114" spans="1:11" x14ac:dyDescent="0.2">
      <c r="A114" s="239"/>
      <c r="B114" s="35"/>
      <c r="C114" s="29" t="s">
        <v>154</v>
      </c>
      <c r="D114" s="2"/>
      <c r="E114" s="2"/>
      <c r="F114" t="s">
        <v>124</v>
      </c>
      <c r="G114" s="2"/>
      <c r="H114" s="152">
        <v>1495</v>
      </c>
      <c r="I114" s="16" t="str">
        <f t="shared" si="8"/>
        <v/>
      </c>
      <c r="J114" s="16"/>
    </row>
    <row r="115" spans="1:11" ht="25.5" x14ac:dyDescent="0.2">
      <c r="A115" s="239"/>
      <c r="B115" s="35"/>
      <c r="C115" s="59" t="s">
        <v>138</v>
      </c>
      <c r="D115" s="2"/>
      <c r="E115" s="2"/>
      <c r="G115" s="2"/>
      <c r="H115" s="152">
        <v>1295</v>
      </c>
      <c r="I115" s="16" t="str">
        <f t="shared" si="8"/>
        <v/>
      </c>
      <c r="J115" s="16"/>
    </row>
    <row r="116" spans="1:11" ht="25.5" x14ac:dyDescent="0.2">
      <c r="A116" s="239"/>
      <c r="B116" s="35"/>
      <c r="C116" s="220" t="s">
        <v>232</v>
      </c>
      <c r="D116" s="2"/>
      <c r="E116" s="2"/>
      <c r="G116" s="2"/>
      <c r="H116" s="159">
        <v>1595</v>
      </c>
      <c r="I116" s="16" t="str">
        <f t="shared" si="8"/>
        <v/>
      </c>
      <c r="J116" s="16"/>
    </row>
    <row r="117" spans="1:11" ht="25.5" x14ac:dyDescent="0.2">
      <c r="A117" s="219"/>
      <c r="B117" s="35"/>
      <c r="C117" s="220" t="s">
        <v>231</v>
      </c>
      <c r="D117" s="2"/>
      <c r="E117" s="2"/>
      <c r="G117" s="2"/>
      <c r="H117" s="159">
        <v>2395</v>
      </c>
      <c r="I117" s="16" t="str">
        <f t="shared" si="8"/>
        <v/>
      </c>
      <c r="J117" s="16"/>
    </row>
    <row r="118" spans="1:11" ht="25.5" x14ac:dyDescent="0.2">
      <c r="A118" s="219"/>
      <c r="B118" s="35"/>
      <c r="C118" s="220" t="s">
        <v>235</v>
      </c>
      <c r="D118" s="2"/>
      <c r="E118" s="2"/>
      <c r="G118" s="2"/>
      <c r="H118" s="159">
        <v>2650</v>
      </c>
      <c r="I118" s="16" t="str">
        <f t="shared" si="8"/>
        <v/>
      </c>
      <c r="J118" s="15"/>
      <c r="K118" s="15"/>
    </row>
    <row r="119" spans="1:11" ht="25.5" x14ac:dyDescent="0.2">
      <c r="A119" s="240" t="s">
        <v>157</v>
      </c>
      <c r="B119" s="35"/>
      <c r="C119" s="33" t="s">
        <v>153</v>
      </c>
      <c r="D119" s="2"/>
      <c r="E119" s="2"/>
      <c r="F119" t="s">
        <v>124</v>
      </c>
      <c r="G119" s="2"/>
      <c r="H119" s="152">
        <v>395</v>
      </c>
      <c r="I119" s="16" t="str">
        <f t="shared" si="8"/>
        <v/>
      </c>
      <c r="J119" s="15"/>
      <c r="K119" s="15"/>
    </row>
    <row r="120" spans="1:11" ht="26.25" thickBot="1" x14ac:dyDescent="0.25">
      <c r="A120" s="240"/>
      <c r="B120" s="35"/>
      <c r="C120" s="59" t="s">
        <v>158</v>
      </c>
      <c r="D120" s="2"/>
      <c r="E120" s="2"/>
      <c r="G120" s="2"/>
      <c r="H120" s="159">
        <v>199</v>
      </c>
      <c r="I120" s="16" t="str">
        <f t="shared" si="8"/>
        <v/>
      </c>
      <c r="J120" s="15"/>
      <c r="K120" s="15"/>
    </row>
    <row r="121" spans="1:11" ht="13.5" thickBot="1" x14ac:dyDescent="0.25">
      <c r="A121" s="70" t="s">
        <v>57</v>
      </c>
      <c r="B121" s="24"/>
      <c r="C121" s="24"/>
      <c r="D121" s="24"/>
      <c r="E121" s="2"/>
      <c r="F121" t="str">
        <f>IF(B121&gt;0,B121*D121,"")</f>
        <v/>
      </c>
      <c r="G121" s="24">
        <f>SUM(D106:D120)</f>
        <v>0</v>
      </c>
      <c r="H121" s="155"/>
      <c r="I121" s="24"/>
      <c r="J121" s="25"/>
      <c r="K121" s="30">
        <f>SUM(I109:I120)</f>
        <v>0</v>
      </c>
    </row>
    <row r="122" spans="1:11" x14ac:dyDescent="0.2">
      <c r="F122" t="str">
        <f>IF(B122&gt;0,B122*D122,"")</f>
        <v/>
      </c>
    </row>
    <row r="123" spans="1:11" ht="25.5" x14ac:dyDescent="0.2">
      <c r="B123" s="57"/>
      <c r="C123" s="237" t="s">
        <v>236</v>
      </c>
      <c r="H123" s="170">
        <v>19995</v>
      </c>
      <c r="I123" s="53">
        <f t="shared" ref="I123:I124" si="9">H123*B123</f>
        <v>0</v>
      </c>
    </row>
    <row r="124" spans="1:11" ht="25.5" x14ac:dyDescent="0.2">
      <c r="B124" s="57"/>
      <c r="C124" s="143" t="s">
        <v>207</v>
      </c>
      <c r="H124" s="170">
        <f>H123+4000</f>
        <v>23995</v>
      </c>
      <c r="I124" s="53">
        <f t="shared" si="9"/>
        <v>0</v>
      </c>
    </row>
    <row r="125" spans="1:11" ht="25.5" x14ac:dyDescent="0.2">
      <c r="A125" s="39" t="s">
        <v>25</v>
      </c>
      <c r="B125" s="142"/>
      <c r="C125" s="143" t="s">
        <v>206</v>
      </c>
      <c r="D125" s="144"/>
      <c r="E125" s="144"/>
      <c r="F125" s="144"/>
      <c r="G125" s="144"/>
      <c r="H125" s="160">
        <f>H124+2000</f>
        <v>25995</v>
      </c>
      <c r="I125" s="53">
        <f>H125*B125</f>
        <v>0</v>
      </c>
      <c r="J125" s="21"/>
    </row>
    <row r="126" spans="1:11" s="51" customFormat="1" x14ac:dyDescent="0.2">
      <c r="B126" s="36">
        <f>SUM(B123:B125)</f>
        <v>0</v>
      </c>
      <c r="C126" s="52" t="s">
        <v>53</v>
      </c>
      <c r="F126" t="str">
        <f t="shared" ref="F126:F130" si="10">IF(B126&gt;0,B126*D126,"")</f>
        <v/>
      </c>
      <c r="H126" s="158"/>
      <c r="I126" s="53"/>
      <c r="J126" s="53"/>
      <c r="K126"/>
    </row>
    <row r="127" spans="1:11" s="51" customFormat="1" x14ac:dyDescent="0.2">
      <c r="B127" s="36">
        <f>B126</f>
        <v>0</v>
      </c>
      <c r="C127" s="52" t="s">
        <v>54</v>
      </c>
      <c r="F127" t="str">
        <f t="shared" si="10"/>
        <v/>
      </c>
      <c r="H127" s="158"/>
      <c r="I127" s="53"/>
      <c r="J127" s="53"/>
    </row>
    <row r="128" spans="1:11" s="51" customFormat="1" ht="13.5" thickBot="1" x14ac:dyDescent="0.25">
      <c r="B128" s="36">
        <f>B127</f>
        <v>0</v>
      </c>
      <c r="C128" s="52" t="s">
        <v>91</v>
      </c>
      <c r="F128" t="str">
        <f t="shared" si="10"/>
        <v/>
      </c>
      <c r="H128" s="158"/>
      <c r="I128" s="53"/>
      <c r="J128" s="53"/>
    </row>
    <row r="129" spans="1:11" ht="13.5" thickBot="1" x14ac:dyDescent="0.25">
      <c r="A129" s="70" t="s">
        <v>29</v>
      </c>
      <c r="B129" s="22"/>
      <c r="C129" s="23"/>
      <c r="D129" s="24"/>
      <c r="E129" s="2"/>
      <c r="F129" t="str">
        <f t="shared" si="10"/>
        <v/>
      </c>
      <c r="G129" s="24"/>
      <c r="H129" s="155"/>
      <c r="I129" s="27"/>
      <c r="J129" s="25"/>
      <c r="K129" s="31">
        <f>SUM(I123:I127)</f>
        <v>0</v>
      </c>
    </row>
    <row r="130" spans="1:11" x14ac:dyDescent="0.2">
      <c r="B130" s="18"/>
      <c r="F130" t="str">
        <f t="shared" si="10"/>
        <v/>
      </c>
      <c r="H130" s="152"/>
      <c r="I130" s="21"/>
      <c r="J130" s="21"/>
      <c r="K130" s="11"/>
    </row>
    <row r="131" spans="1:11" x14ac:dyDescent="0.2">
      <c r="A131" s="39" t="s">
        <v>21</v>
      </c>
      <c r="B131" s="35"/>
      <c r="C131" s="12" t="s">
        <v>43</v>
      </c>
      <c r="F131" t="str">
        <f t="shared" ref="F131:F142" si="11">IF(B131&gt;0,B131*D131,"")</f>
        <v/>
      </c>
      <c r="H131" s="145"/>
      <c r="I131" s="16" t="str">
        <f>IF(B131&gt;0,B131*H131,"")</f>
        <v/>
      </c>
      <c r="J131"/>
    </row>
    <row r="132" spans="1:11" x14ac:dyDescent="0.2">
      <c r="B132" s="35"/>
      <c r="C132" s="12" t="s">
        <v>51</v>
      </c>
      <c r="F132" t="str">
        <f t="shared" si="11"/>
        <v/>
      </c>
      <c r="H132" s="145"/>
      <c r="I132" s="16" t="str">
        <f>IF(B132&gt;0,B132*H132,"")</f>
        <v/>
      </c>
      <c r="J132" s="16"/>
    </row>
    <row r="133" spans="1:11" x14ac:dyDescent="0.2">
      <c r="B133" s="35"/>
      <c r="C133" s="12" t="s">
        <v>55</v>
      </c>
      <c r="F133" t="str">
        <f t="shared" si="11"/>
        <v/>
      </c>
      <c r="H133" s="150">
        <v>55</v>
      </c>
      <c r="I133" s="16" t="str">
        <f>IF(B133&gt;0,B133*H133,"")</f>
        <v/>
      </c>
      <c r="J133" s="16"/>
    </row>
    <row r="134" spans="1:11" x14ac:dyDescent="0.2">
      <c r="B134" s="38"/>
      <c r="C134" s="12" t="s">
        <v>19</v>
      </c>
      <c r="F134" t="str">
        <f t="shared" si="11"/>
        <v/>
      </c>
      <c r="H134" s="150">
        <v>35</v>
      </c>
      <c r="I134" s="16" t="str">
        <f>IF(B134&gt;0,B134*H134,"")</f>
        <v/>
      </c>
      <c r="J134" s="16"/>
    </row>
    <row r="135" spans="1:11" ht="13.5" thickBot="1" x14ac:dyDescent="0.25">
      <c r="B135" s="38"/>
      <c r="C135" s="12" t="s">
        <v>20</v>
      </c>
      <c r="F135" t="str">
        <f t="shared" si="11"/>
        <v/>
      </c>
      <c r="H135" s="150">
        <v>65</v>
      </c>
      <c r="I135" s="16" t="str">
        <f>IF(B135&gt;0,B135*H135,"")</f>
        <v/>
      </c>
      <c r="J135" s="16"/>
    </row>
    <row r="136" spans="1:11" ht="13.5" thickBot="1" x14ac:dyDescent="0.25">
      <c r="A136" s="70" t="s">
        <v>44</v>
      </c>
      <c r="B136" s="22"/>
      <c r="C136" s="23"/>
      <c r="D136" s="24"/>
      <c r="E136" s="2"/>
      <c r="F136" t="str">
        <f t="shared" si="11"/>
        <v/>
      </c>
      <c r="G136" s="24"/>
      <c r="H136" s="155"/>
      <c r="I136" s="25"/>
      <c r="J136" s="25"/>
      <c r="K136" s="28">
        <f>SUM(I131:I135)</f>
        <v>0</v>
      </c>
    </row>
    <row r="137" spans="1:11" ht="13.5" thickBot="1" x14ac:dyDescent="0.25">
      <c r="F137" t="str">
        <f t="shared" si="11"/>
        <v/>
      </c>
    </row>
    <row r="138" spans="1:11" ht="13.5" thickBot="1" x14ac:dyDescent="0.25">
      <c r="F138" t="str">
        <f t="shared" si="11"/>
        <v/>
      </c>
      <c r="G138">
        <f>SUM(F16:F136)</f>
        <v>2503</v>
      </c>
      <c r="K138" s="40">
        <f>SUM(K88:K136)</f>
        <v>4968</v>
      </c>
    </row>
    <row r="139" spans="1:11" x14ac:dyDescent="0.2">
      <c r="F139" t="str">
        <f t="shared" si="11"/>
        <v/>
      </c>
    </row>
    <row r="140" spans="1:11" x14ac:dyDescent="0.2">
      <c r="B140" s="35"/>
      <c r="C140" s="12" t="s">
        <v>94</v>
      </c>
      <c r="F140" t="str">
        <f t="shared" si="11"/>
        <v/>
      </c>
      <c r="K140" t="str">
        <f>IF(B140=1,B140*0.03,"")</f>
        <v/>
      </c>
    </row>
    <row r="141" spans="1:11" x14ac:dyDescent="0.2">
      <c r="C141" s="12" t="s">
        <v>95</v>
      </c>
      <c r="F141" t="str">
        <f t="shared" si="11"/>
        <v/>
      </c>
      <c r="K141" s="11">
        <f>K138</f>
        <v>4968</v>
      </c>
    </row>
    <row r="142" spans="1:11" x14ac:dyDescent="0.2">
      <c r="C142" s="12" t="s">
        <v>96</v>
      </c>
      <c r="F142" t="str">
        <f t="shared" si="11"/>
        <v/>
      </c>
      <c r="K142" s="61"/>
    </row>
    <row r="143" spans="1:11" x14ac:dyDescent="0.2">
      <c r="K143" s="62"/>
    </row>
    <row r="144" spans="1:11" x14ac:dyDescent="0.2">
      <c r="K144" s="63"/>
    </row>
    <row r="147" spans="3:11" x14ac:dyDescent="0.2">
      <c r="C147" s="12" t="s">
        <v>97</v>
      </c>
      <c r="K147" s="64">
        <f>K141-K142-K143-K144</f>
        <v>4968</v>
      </c>
    </row>
  </sheetData>
  <sheetProtection algorithmName="SHA-512" hashValue="pGMb0hU3+xIdhz8Vl0ttsUQcxhqLgToBBzjc0XoKXRzBDKp6ay8BOFRabl8dyuH0O8/Gvx06GytjEn4k9EvFXw==" saltValue="Aroxf38XbxL8S0L0AW4V9Q==" spinCount="100000" sheet="1" selectLockedCells="1"/>
  <mergeCells count="2">
    <mergeCell ref="A109:A116"/>
    <mergeCell ref="A119:A120"/>
  </mergeCells>
  <phoneticPr fontId="0" type="noConversion"/>
  <printOptions horizontalCentered="1"/>
  <pageMargins left="0.25" right="0.25" top="0.5" bottom="0.5" header="0" footer="0"/>
  <pageSetup scale="8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69"/>
  <sheetViews>
    <sheetView workbookViewId="0">
      <selection activeCell="B22" sqref="B22"/>
    </sheetView>
  </sheetViews>
  <sheetFormatPr defaultColWidth="9.140625" defaultRowHeight="12.75" x14ac:dyDescent="0.2"/>
  <cols>
    <col min="1" max="1" width="21.85546875" style="79" customWidth="1"/>
    <col min="2" max="2" width="4" style="77" customWidth="1"/>
    <col min="3" max="3" width="56.7109375" style="88" customWidth="1"/>
    <col min="4" max="5" width="5.42578125" style="79" hidden="1" customWidth="1"/>
    <col min="6" max="6" width="8.7109375" style="79" hidden="1" customWidth="1"/>
    <col min="7" max="7" width="8.85546875" style="79" hidden="1" customWidth="1"/>
    <col min="8" max="8" width="10" style="93" bestFit="1" customWidth="1"/>
    <col min="9" max="9" width="9.28515625" style="93" bestFit="1" customWidth="1"/>
    <col min="10" max="10" width="10.28515625" style="93" bestFit="1" customWidth="1"/>
    <col min="11" max="11" width="10.28515625" style="79" bestFit="1" customWidth="1"/>
    <col min="12" max="16384" width="9.140625" style="79"/>
  </cols>
  <sheetData>
    <row r="1" spans="1:10" ht="23.25" thickBot="1" x14ac:dyDescent="0.35">
      <c r="A1" s="238" t="s">
        <v>139</v>
      </c>
      <c r="C1" s="78" t="s">
        <v>33</v>
      </c>
    </row>
    <row r="2" spans="1:10" ht="13.5" thickBot="1" x14ac:dyDescent="0.25">
      <c r="A2" s="76">
        <v>1982</v>
      </c>
      <c r="C2" s="80" t="s">
        <v>34</v>
      </c>
    </row>
    <row r="3" spans="1:10" x14ac:dyDescent="0.2">
      <c r="A3" s="81" t="s">
        <v>48</v>
      </c>
      <c r="C3" s="82" t="s">
        <v>35</v>
      </c>
    </row>
    <row r="4" spans="1:10" x14ac:dyDescent="0.2">
      <c r="A4" s="83" t="s">
        <v>124</v>
      </c>
      <c r="C4" s="82" t="s">
        <v>13</v>
      </c>
    </row>
    <row r="5" spans="1:10" ht="13.5" thickBot="1" x14ac:dyDescent="0.25">
      <c r="A5" s="84" t="s">
        <v>49</v>
      </c>
      <c r="C5" s="82" t="s">
        <v>36</v>
      </c>
    </row>
    <row r="6" spans="1:10" ht="13.5" thickBot="1" x14ac:dyDescent="0.25">
      <c r="A6" s="84" t="s">
        <v>46</v>
      </c>
      <c r="C6" s="82" t="s">
        <v>37</v>
      </c>
    </row>
    <row r="7" spans="1:10" ht="16.5" thickBot="1" x14ac:dyDescent="0.3">
      <c r="A7" s="76" t="s">
        <v>47</v>
      </c>
      <c r="C7" s="85" t="s">
        <v>132</v>
      </c>
    </row>
    <row r="8" spans="1:10" ht="16.5" thickBot="1" x14ac:dyDescent="0.3">
      <c r="C8" s="86" t="s">
        <v>39</v>
      </c>
    </row>
    <row r="9" spans="1:10" ht="13.5" thickBot="1" x14ac:dyDescent="0.25">
      <c r="A9" s="87" t="s">
        <v>107</v>
      </c>
      <c r="J9" s="218">
        <f>K169</f>
        <v>5993</v>
      </c>
    </row>
    <row r="11" spans="1:10" x14ac:dyDescent="0.2">
      <c r="A11" s="39" t="s">
        <v>161</v>
      </c>
      <c r="B11" s="90" t="str">
        <f>IF($A$2&gt;1973,"",1)</f>
        <v/>
      </c>
      <c r="C11" s="91" t="s">
        <v>100</v>
      </c>
      <c r="E11" s="156" t="s">
        <v>173</v>
      </c>
      <c r="F11" s="79" t="str">
        <f>IF(SUM(B11:B13)&gt;0,"915","G50")</f>
        <v>915</v>
      </c>
    </row>
    <row r="12" spans="1:10" x14ac:dyDescent="0.2">
      <c r="B12" s="90">
        <f>IF(AND($A$2&gt;1972,$A$2&lt;1984),1,"")</f>
        <v>1</v>
      </c>
      <c r="C12" s="91" t="s">
        <v>128</v>
      </c>
      <c r="E12" s="93"/>
      <c r="F12" s="93"/>
    </row>
    <row r="13" spans="1:10" x14ac:dyDescent="0.2">
      <c r="B13" s="90" t="str">
        <f>IF(AND($A$2&gt;1983,$A$2&lt;1987),1,"")</f>
        <v/>
      </c>
      <c r="C13" s="91" t="s">
        <v>98</v>
      </c>
      <c r="E13" s="93"/>
      <c r="F13" s="93"/>
    </row>
    <row r="14" spans="1:10" x14ac:dyDescent="0.2">
      <c r="B14" s="90" t="str">
        <f>IF($A$2&gt;1986,1,"")</f>
        <v/>
      </c>
      <c r="C14" s="91" t="s">
        <v>99</v>
      </c>
      <c r="E14" s="93"/>
      <c r="F14" s="93"/>
    </row>
    <row r="15" spans="1:10" x14ac:dyDescent="0.2">
      <c r="B15" s="166"/>
      <c r="C15" s="91"/>
      <c r="E15" s="93"/>
      <c r="F15" s="93"/>
    </row>
    <row r="16" spans="1:10" x14ac:dyDescent="0.2">
      <c r="A16" s="39" t="s">
        <v>162</v>
      </c>
      <c r="B16" s="169"/>
      <c r="C16" s="167" t="s">
        <v>163</v>
      </c>
      <c r="D16" s="168" t="s">
        <v>174</v>
      </c>
      <c r="E16" s="156" t="s">
        <v>162</v>
      </c>
      <c r="F16" s="156" t="str">
        <f>VLOOKUP(1,B16:D19,3,FALSE)</f>
        <v>VRUS</v>
      </c>
    </row>
    <row r="17" spans="1:8" x14ac:dyDescent="0.2">
      <c r="B17" s="169"/>
      <c r="C17" s="167" t="s">
        <v>164</v>
      </c>
      <c r="D17" s="168" t="s">
        <v>175</v>
      </c>
      <c r="E17" s="156" t="s">
        <v>167</v>
      </c>
      <c r="F17" s="93"/>
    </row>
    <row r="18" spans="1:8" x14ac:dyDescent="0.2">
      <c r="B18" s="169"/>
      <c r="C18" s="167" t="s">
        <v>165</v>
      </c>
      <c r="D18" s="5" t="s">
        <v>181</v>
      </c>
      <c r="E18" s="93"/>
      <c r="F18" s="93"/>
    </row>
    <row r="19" spans="1:8" x14ac:dyDescent="0.2">
      <c r="B19" s="169">
        <v>1</v>
      </c>
      <c r="C19" s="167" t="s">
        <v>166</v>
      </c>
      <c r="D19" s="5" t="s">
        <v>176</v>
      </c>
      <c r="E19" s="93"/>
      <c r="F19" s="93"/>
    </row>
    <row r="20" spans="1:8" x14ac:dyDescent="0.2">
      <c r="B20" s="166"/>
      <c r="C20" s="91"/>
      <c r="E20" s="93"/>
      <c r="F20" s="93"/>
    </row>
    <row r="21" spans="1:8" x14ac:dyDescent="0.2">
      <c r="A21" s="39" t="s">
        <v>180</v>
      </c>
      <c r="B21" s="169">
        <v>1</v>
      </c>
      <c r="C21" s="167" t="s">
        <v>168</v>
      </c>
      <c r="D21" s="5" t="s">
        <v>177</v>
      </c>
      <c r="E21" s="156" t="s">
        <v>172</v>
      </c>
      <c r="F21" s="93" t="str">
        <f>VLOOKUP(1,B21:D24,3,FALSE)</f>
        <v>CUST</v>
      </c>
    </row>
    <row r="22" spans="1:8" x14ac:dyDescent="0.2">
      <c r="B22" s="169"/>
      <c r="C22" s="167" t="s">
        <v>169</v>
      </c>
      <c r="D22" s="5" t="s">
        <v>145</v>
      </c>
    </row>
    <row r="23" spans="1:8" x14ac:dyDescent="0.2">
      <c r="B23" s="169"/>
      <c r="C23" s="167" t="s">
        <v>170</v>
      </c>
      <c r="D23" s="5" t="s">
        <v>179</v>
      </c>
    </row>
    <row r="24" spans="1:8" x14ac:dyDescent="0.2">
      <c r="B24" s="169"/>
      <c r="C24" s="167" t="s">
        <v>171</v>
      </c>
      <c r="D24" s="5" t="s">
        <v>178</v>
      </c>
    </row>
    <row r="25" spans="1:8" x14ac:dyDescent="0.2">
      <c r="A25" s="87" t="s">
        <v>106</v>
      </c>
    </row>
    <row r="26" spans="1:8" x14ac:dyDescent="0.2">
      <c r="A26" s="87"/>
    </row>
    <row r="27" spans="1:8" x14ac:dyDescent="0.2">
      <c r="A27" s="89" t="s">
        <v>0</v>
      </c>
      <c r="B27" s="90">
        <f>IF(B25=1,"",1)</f>
        <v>1</v>
      </c>
      <c r="C27" s="92" t="str">
        <f>'964'!C16</f>
        <v>3 short studs, 4 10mm nuts, 4 10mm washers</v>
      </c>
      <c r="D27" s="79">
        <f>'964'!D16</f>
        <v>10</v>
      </c>
      <c r="E27" s="79">
        <f>'964'!E16</f>
        <v>10</v>
      </c>
      <c r="F27" s="79">
        <f>'964'!F16</f>
        <v>10</v>
      </c>
    </row>
    <row r="28" spans="1:8" x14ac:dyDescent="0.2">
      <c r="A28" s="79" t="s">
        <v>1</v>
      </c>
      <c r="B28" s="90">
        <v>1</v>
      </c>
      <c r="C28" s="92" t="str">
        <f>'964'!C17</f>
        <v>2 fabricated spacers, 2 washers, 2 5.5" bolts, 2 nuts</v>
      </c>
      <c r="D28" s="79">
        <f>'964'!D17</f>
        <v>20</v>
      </c>
      <c r="E28" s="79">
        <f>'964'!E17</f>
        <v>20</v>
      </c>
      <c r="F28" s="79">
        <f>'964'!F17</f>
        <v>20</v>
      </c>
    </row>
    <row r="29" spans="1:8" x14ac:dyDescent="0.2">
      <c r="A29" s="79" t="s">
        <v>5</v>
      </c>
      <c r="B29" s="119"/>
      <c r="C29" s="92" t="str">
        <f>'964'!C18</f>
        <v>Sheetmetal Modification (No cost option -w- kit)</v>
      </c>
      <c r="D29" s="79">
        <f>'964'!D18</f>
        <v>0</v>
      </c>
      <c r="E29" s="79">
        <f>'964'!E18</f>
        <v>0</v>
      </c>
      <c r="F29" s="79">
        <f>'964'!F18</f>
        <v>0</v>
      </c>
    </row>
    <row r="30" spans="1:8" x14ac:dyDescent="0.2">
      <c r="A30" s="79" t="s">
        <v>6</v>
      </c>
      <c r="B30" s="90">
        <v>1</v>
      </c>
      <c r="C30" s="92" t="str">
        <f>'964'!C19</f>
        <v>Crossmember reshaped, reinforced, strengthened (supply core)</v>
      </c>
      <c r="D30" s="79">
        <f>'964'!D19</f>
        <v>0</v>
      </c>
      <c r="E30" s="79">
        <f>'964'!E19</f>
        <v>0</v>
      </c>
      <c r="F30" s="79">
        <f>'964'!F19</f>
        <v>0</v>
      </c>
      <c r="G30" s="94"/>
      <c r="H30" s="116"/>
    </row>
    <row r="31" spans="1:8" x14ac:dyDescent="0.2">
      <c r="B31" s="95"/>
      <c r="F31" s="79" t="str">
        <f>'964'!F20</f>
        <v/>
      </c>
      <c r="G31" s="96">
        <f>SUM(F27:F30)</f>
        <v>30</v>
      </c>
      <c r="H31" s="98"/>
    </row>
    <row r="32" spans="1:8" x14ac:dyDescent="0.2">
      <c r="A32" s="79" t="s">
        <v>3</v>
      </c>
      <c r="B32" s="97">
        <f>IF(SUM(B11:B13)&gt;0,1,"")</f>
        <v>1</v>
      </c>
      <c r="C32" s="92" t="str">
        <f>'964'!C21</f>
        <v>Flywheel for 3.6 conversion - 915</v>
      </c>
      <c r="D32" s="79">
        <f>'964'!D21</f>
        <v>388</v>
      </c>
      <c r="E32" s="79">
        <f>'964'!E21</f>
        <v>388</v>
      </c>
      <c r="F32" s="79">
        <f>'964'!F21</f>
        <v>388</v>
      </c>
    </row>
    <row r="33" spans="1:10" ht="25.5" x14ac:dyDescent="0.2">
      <c r="B33" s="90" t="str">
        <f>B14</f>
        <v/>
      </c>
      <c r="C33" s="92" t="str">
        <f>'964'!C22</f>
        <v>Flywheel for 3.6 conversion - G50 with sensor pickup (Adds $200, with or without RS clutch kit)</v>
      </c>
      <c r="D33" s="79">
        <f>'964'!D22</f>
        <v>588</v>
      </c>
      <c r="E33" s="79">
        <f>'964'!E22</f>
        <v>0</v>
      </c>
      <c r="F33" s="79" t="str">
        <f>'964'!F22</f>
        <v/>
      </c>
    </row>
    <row r="34" spans="1:10" x14ac:dyDescent="0.2">
      <c r="B34" s="90">
        <v>1</v>
      </c>
      <c r="C34" s="92" t="str">
        <f>'964'!C23</f>
        <v>9 FW bolts</v>
      </c>
      <c r="D34" s="79">
        <f>'964'!D23</f>
        <v>9</v>
      </c>
      <c r="E34" s="79">
        <f>'964'!E23</f>
        <v>9</v>
      </c>
      <c r="F34" s="79">
        <f>'964'!F23</f>
        <v>9</v>
      </c>
      <c r="J34" s="98"/>
    </row>
    <row r="35" spans="1:10" x14ac:dyDescent="0.2">
      <c r="B35" s="90">
        <v>1</v>
      </c>
      <c r="C35" s="92" t="str">
        <f>'964'!C24</f>
        <v>9 Clutch Bolts/Lockwashers</v>
      </c>
      <c r="D35" s="79">
        <f>'964'!D24</f>
        <v>4</v>
      </c>
      <c r="E35" s="79">
        <f>'964'!E24</f>
        <v>4</v>
      </c>
      <c r="F35" s="79">
        <f>'964'!F24</f>
        <v>4</v>
      </c>
    </row>
    <row r="36" spans="1:10" x14ac:dyDescent="0.2">
      <c r="B36" s="90">
        <v>1</v>
      </c>
      <c r="C36" s="92" t="str">
        <f>'964'!C25</f>
        <v>1 pilot bearing</v>
      </c>
      <c r="D36" s="79">
        <f>'964'!D25</f>
        <v>12</v>
      </c>
      <c r="E36" s="79">
        <f>'964'!E25</f>
        <v>12</v>
      </c>
      <c r="F36" s="79">
        <f>'964'!F25</f>
        <v>12</v>
      </c>
      <c r="G36" s="94"/>
      <c r="H36" s="116"/>
    </row>
    <row r="37" spans="1:10" x14ac:dyDescent="0.2">
      <c r="B37" s="95"/>
      <c r="F37" s="79" t="str">
        <f>'964'!F26</f>
        <v/>
      </c>
      <c r="G37" s="79">
        <f>SUM(F32:F36)</f>
        <v>413</v>
      </c>
    </row>
    <row r="38" spans="1:10" x14ac:dyDescent="0.2">
      <c r="A38" s="79" t="s">
        <v>2</v>
      </c>
      <c r="B38" s="90">
        <v>1</v>
      </c>
      <c r="C38" s="92" t="s">
        <v>105</v>
      </c>
      <c r="D38" s="79">
        <v>200</v>
      </c>
      <c r="E38" s="79">
        <f>'964'!E27</f>
        <v>160</v>
      </c>
      <c r="F38" s="79">
        <f>'964'!F27</f>
        <v>160</v>
      </c>
      <c r="H38" s="102"/>
    </row>
    <row r="39" spans="1:10" x14ac:dyDescent="0.2">
      <c r="B39" s="90">
        <f>B38</f>
        <v>1</v>
      </c>
      <c r="C39" s="88" t="s">
        <v>10</v>
      </c>
      <c r="D39" s="79">
        <f>'964'!D28</f>
        <v>24</v>
      </c>
      <c r="E39" s="79">
        <f>'964'!E28</f>
        <v>24</v>
      </c>
      <c r="F39" s="79">
        <f>'964'!F28</f>
        <v>24</v>
      </c>
      <c r="G39" s="94"/>
      <c r="H39" s="116"/>
    </row>
    <row r="40" spans="1:10" x14ac:dyDescent="0.2">
      <c r="B40" s="95"/>
      <c r="F40" s="79" t="str">
        <f>'964'!F29</f>
        <v/>
      </c>
      <c r="G40" s="79">
        <f>SUM(F38:F39)</f>
        <v>184</v>
      </c>
    </row>
    <row r="41" spans="1:10" x14ac:dyDescent="0.2">
      <c r="A41" s="79" t="s">
        <v>11</v>
      </c>
      <c r="B41" s="90">
        <f>IF(SUM(B12:B13)&gt;0,1,"")</f>
        <v>1</v>
      </c>
      <c r="C41" s="92" t="str">
        <f>'964'!C30</f>
        <v>Fuel Filter Early and SC through 1983</v>
      </c>
      <c r="D41" s="79">
        <f>'964'!D30</f>
        <v>18</v>
      </c>
      <c r="E41" s="79">
        <f>'964'!E30</f>
        <v>18</v>
      </c>
      <c r="F41" s="79">
        <f>'964'!F30</f>
        <v>18</v>
      </c>
    </row>
    <row r="42" spans="1:10" x14ac:dyDescent="0.2">
      <c r="B42" s="90" t="str">
        <f>IF(B41=1,"",1)</f>
        <v/>
      </c>
      <c r="C42" s="92" t="str">
        <f>'964'!C31</f>
        <v>KL21 Carrera 84-89</v>
      </c>
      <c r="D42" s="79">
        <f>'964'!D31</f>
        <v>18</v>
      </c>
      <c r="E42" s="79">
        <f>'964'!E31</f>
        <v>0</v>
      </c>
      <c r="F42" s="79" t="str">
        <f>'964'!F31</f>
        <v/>
      </c>
    </row>
    <row r="43" spans="1:10" x14ac:dyDescent="0.2">
      <c r="B43" s="90">
        <v>1</v>
      </c>
      <c r="C43" s="92" t="str">
        <f>'964'!C32</f>
        <v>Fuel Line - filter to Injection</v>
      </c>
      <c r="D43" s="79">
        <f>'964'!D32</f>
        <v>55</v>
      </c>
      <c r="E43" s="79">
        <f>'964'!E32</f>
        <v>55</v>
      </c>
      <c r="F43" s="79">
        <f>'964'!F32</f>
        <v>55</v>
      </c>
    </row>
    <row r="44" spans="1:10" x14ac:dyDescent="0.2">
      <c r="B44" s="114" t="str">
        <f>B11</f>
        <v/>
      </c>
      <c r="C44" s="92" t="str">
        <f>'964'!C33</f>
        <v>Fuel Line - Return (to barb connector) -72</v>
      </c>
      <c r="D44" s="79">
        <f>'964'!D33</f>
        <v>35</v>
      </c>
      <c r="E44" s="79">
        <f>'964'!E33</f>
        <v>35</v>
      </c>
      <c r="F44" s="79" t="str">
        <f>'964'!F33</f>
        <v/>
      </c>
    </row>
    <row r="45" spans="1:10" x14ac:dyDescent="0.2">
      <c r="B45" s="90">
        <f>B12</f>
        <v>1</v>
      </c>
      <c r="C45" s="92" t="str">
        <f>'964'!C34</f>
        <v>Fuel Line - Return CIS 73-83</v>
      </c>
      <c r="D45" s="79">
        <f>'964'!D34</f>
        <v>35</v>
      </c>
      <c r="E45" s="79">
        <f>'964'!E34</f>
        <v>0</v>
      </c>
      <c r="F45" s="79">
        <f>'964'!F34</f>
        <v>35</v>
      </c>
    </row>
    <row r="46" spans="1:10" x14ac:dyDescent="0.2">
      <c r="B46" s="90" t="str">
        <f>IF(OR(B14=1,B25=1),1,"")</f>
        <v/>
      </c>
      <c r="C46" s="92" t="str">
        <f>'964'!C35</f>
        <v>Fuel Line - Return Carrera 84-89</v>
      </c>
      <c r="D46" s="79">
        <f>'964'!D35</f>
        <v>35</v>
      </c>
      <c r="E46" s="79">
        <f>'964'!E35</f>
        <v>0</v>
      </c>
      <c r="F46" s="79" t="str">
        <f>'964'!F35</f>
        <v/>
      </c>
      <c r="G46" s="94"/>
      <c r="H46" s="116"/>
    </row>
    <row r="47" spans="1:10" x14ac:dyDescent="0.2">
      <c r="B47" s="100"/>
      <c r="G47" s="79">
        <f>SUM(F41:F46)</f>
        <v>108</v>
      </c>
      <c r="H47" s="98"/>
    </row>
    <row r="48" spans="1:10" x14ac:dyDescent="0.2">
      <c r="B48" s="101"/>
    </row>
    <row r="49" spans="1:10" s="99" customFormat="1" x14ac:dyDescent="0.2">
      <c r="A49" s="99" t="s">
        <v>7</v>
      </c>
      <c r="B49" s="90">
        <f>B32</f>
        <v>1</v>
      </c>
      <c r="C49" s="92" t="str">
        <f>'964'!C38</f>
        <v>915 Throttle cable assembly, with adjustable guide</v>
      </c>
      <c r="D49" s="79">
        <f>'964'!D38</f>
        <v>30</v>
      </c>
      <c r="E49" s="79">
        <f>'964'!E38</f>
        <v>30</v>
      </c>
      <c r="F49" s="79">
        <f>'964'!F38</f>
        <v>30</v>
      </c>
      <c r="H49" s="102"/>
      <c r="I49" s="93"/>
      <c r="J49" s="102"/>
    </row>
    <row r="50" spans="1:10" s="99" customFormat="1" x14ac:dyDescent="0.2">
      <c r="B50" s="90" t="str">
        <f>B33</f>
        <v/>
      </c>
      <c r="C50" s="92" t="str">
        <f>'964'!C39</f>
        <v>G50 Throttle cable assembly, with adjustable guide</v>
      </c>
      <c r="D50" s="79">
        <f>'964'!D39</f>
        <v>30</v>
      </c>
      <c r="E50" s="79">
        <f>'964'!E39</f>
        <v>0</v>
      </c>
      <c r="F50" s="79" t="str">
        <f>'964'!F39</f>
        <v/>
      </c>
      <c r="H50" s="102"/>
      <c r="I50" s="93"/>
      <c r="J50" s="102"/>
    </row>
    <row r="51" spans="1:10" x14ac:dyDescent="0.2">
      <c r="A51" s="99"/>
      <c r="B51" s="90">
        <v>1</v>
      </c>
      <c r="C51" s="92" t="str">
        <f>'964'!C40</f>
        <v>Belcrank - Modified (supply core, no cost option -w- kit)</v>
      </c>
      <c r="D51" s="79">
        <f>'964'!D40</f>
        <v>0</v>
      </c>
      <c r="E51" s="79">
        <f>'964'!E40</f>
        <v>0</v>
      </c>
      <c r="F51" s="79">
        <f>'964'!F40</f>
        <v>0</v>
      </c>
      <c r="G51" s="103"/>
      <c r="H51" s="113"/>
    </row>
    <row r="52" spans="1:10" x14ac:dyDescent="0.2">
      <c r="B52" s="101"/>
      <c r="G52" s="79">
        <f>SUM(F49:F51)</f>
        <v>30</v>
      </c>
    </row>
    <row r="53" spans="1:10" x14ac:dyDescent="0.2">
      <c r="B53" s="101"/>
    </row>
    <row r="54" spans="1:10" x14ac:dyDescent="0.2">
      <c r="A54" s="104" t="s">
        <v>73</v>
      </c>
      <c r="B54" s="90">
        <v>1</v>
      </c>
      <c r="C54" s="92" t="s">
        <v>104</v>
      </c>
      <c r="D54" s="79">
        <v>85</v>
      </c>
      <c r="E54" s="79">
        <f>D54</f>
        <v>85</v>
      </c>
      <c r="F54" s="79">
        <f>E54</f>
        <v>85</v>
      </c>
      <c r="G54" s="99"/>
      <c r="H54" s="102"/>
    </row>
    <row r="55" spans="1:10" x14ac:dyDescent="0.2">
      <c r="B55" s="105">
        <v>1</v>
      </c>
      <c r="C55" s="92" t="str">
        <f>'964'!C44</f>
        <v>"S" Hose - tank to feed line - NOTE Used not reccomended!</v>
      </c>
      <c r="D55" s="79">
        <f>'964'!D44</f>
        <v>12</v>
      </c>
      <c r="E55" s="79">
        <f>'964'!E44</f>
        <v>12</v>
      </c>
      <c r="F55" s="79">
        <f>'964'!F44</f>
        <v>12</v>
      </c>
      <c r="I55" s="102"/>
    </row>
    <row r="56" spans="1:10" x14ac:dyDescent="0.2">
      <c r="B56" s="105">
        <v>1</v>
      </c>
      <c r="C56" s="92" t="str">
        <f>'964'!C45</f>
        <v>Factory Scavenge Oil SSI Line 1 (?)       Engine Case to "J" Line</v>
      </c>
      <c r="D56" s="79">
        <f>'964'!D45</f>
        <v>95</v>
      </c>
      <c r="E56" s="79">
        <f>'964'!E45</f>
        <v>95</v>
      </c>
      <c r="F56" s="79">
        <f>'964'!F45</f>
        <v>95</v>
      </c>
      <c r="I56" s="106"/>
    </row>
    <row r="57" spans="1:10" ht="13.5" thickBot="1" x14ac:dyDescent="0.25">
      <c r="B57" s="105">
        <v>1</v>
      </c>
      <c r="C57" s="92" t="str">
        <f>'964'!C46</f>
        <v>Factory Scavenge Oil SSI Line 2 (J)         "?"  to thermostat</v>
      </c>
      <c r="D57" s="79">
        <f>'964'!D46</f>
        <v>105</v>
      </c>
      <c r="E57" s="79">
        <f>'964'!E46</f>
        <v>105</v>
      </c>
      <c r="F57" s="79">
        <f>'964'!F46</f>
        <v>105</v>
      </c>
      <c r="I57" s="106"/>
      <c r="J57" s="98"/>
    </row>
    <row r="58" spans="1:10" ht="13.5" thickBot="1" x14ac:dyDescent="0.25">
      <c r="A58" s="107" t="s">
        <v>31</v>
      </c>
      <c r="B58" s="108"/>
      <c r="C58" s="109"/>
      <c r="D58" s="110"/>
      <c r="E58" s="110">
        <f>SUM(E30:E57)</f>
        <v>1032</v>
      </c>
      <c r="F58" s="110">
        <f>SUM(F30:F57)</f>
        <v>1032</v>
      </c>
      <c r="G58" s="110"/>
      <c r="H58" s="111"/>
      <c r="I58" s="111"/>
      <c r="J58" s="112">
        <f>1995+F58-E58</f>
        <v>1995</v>
      </c>
    </row>
    <row r="59" spans="1:10" x14ac:dyDescent="0.2">
      <c r="C59" s="79"/>
      <c r="F59" s="79" t="str">
        <f t="shared" ref="F59:F67" si="0">IF(B59&gt;0,B59*D59,"")</f>
        <v/>
      </c>
    </row>
    <row r="60" spans="1:10" x14ac:dyDescent="0.2">
      <c r="F60" s="79" t="str">
        <f t="shared" si="0"/>
        <v/>
      </c>
    </row>
    <row r="61" spans="1:10" x14ac:dyDescent="0.2">
      <c r="A61" s="87" t="s">
        <v>23</v>
      </c>
      <c r="B61" s="105"/>
      <c r="C61" s="88" t="str">
        <f>'964'!C51</f>
        <v>915 PowerPack Clutch Kit ($800+ elsewhere)</v>
      </c>
      <c r="D61" s="79">
        <v>428</v>
      </c>
      <c r="F61" s="79" t="str">
        <f t="shared" si="0"/>
        <v/>
      </c>
      <c r="H61" s="93">
        <f>'964'!H51</f>
        <v>699</v>
      </c>
      <c r="I61" s="102" t="str">
        <f t="shared" ref="I61:I62" si="1">IF(B61=1,B61*H61,"")</f>
        <v/>
      </c>
      <c r="J61" s="102"/>
    </row>
    <row r="62" spans="1:10" x14ac:dyDescent="0.2">
      <c r="B62" s="105"/>
      <c r="C62" s="88" t="str">
        <f>'964'!C52</f>
        <v>G50 Cup RS Sachs Clutch Kit for 87-89 upgrade</v>
      </c>
      <c r="H62" s="93">
        <v>1695</v>
      </c>
      <c r="I62" s="102" t="str">
        <f t="shared" si="1"/>
        <v/>
      </c>
      <c r="J62" s="102"/>
    </row>
    <row r="63" spans="1:10" x14ac:dyDescent="0.2">
      <c r="B63" s="105" t="str">
        <f>IF(ENGINE="95",1,"")</f>
        <v/>
      </c>
      <c r="C63" s="92" t="s">
        <v>119</v>
      </c>
      <c r="D63" s="79">
        <v>150</v>
      </c>
      <c r="F63" s="79" t="e">
        <f t="shared" si="0"/>
        <v>#VALUE!</v>
      </c>
      <c r="H63" s="93">
        <v>475</v>
      </c>
      <c r="I63" s="102" t="str">
        <f>IF(B63=1,B63*H63,"")</f>
        <v/>
      </c>
      <c r="J63" s="102"/>
    </row>
    <row r="64" spans="1:10" x14ac:dyDescent="0.2">
      <c r="B64" s="105" t="str">
        <f>IF(ENGINE="VREuro",1,"")</f>
        <v/>
      </c>
      <c r="C64" s="92" t="s">
        <v>118</v>
      </c>
      <c r="H64" s="93">
        <v>475</v>
      </c>
      <c r="I64" s="102" t="str">
        <f t="shared" ref="I64:I71" si="2">IF(B64=1,B64*H64,"")</f>
        <v/>
      </c>
      <c r="J64" s="102"/>
    </row>
    <row r="65" spans="1:12" x14ac:dyDescent="0.2">
      <c r="B65" s="105">
        <f>IF(ENGINE="VRUS",1,"")</f>
        <v>1</v>
      </c>
      <c r="C65" s="88" t="s">
        <v>123</v>
      </c>
      <c r="H65" s="93">
        <v>995</v>
      </c>
      <c r="I65" s="102">
        <f t="shared" si="2"/>
        <v>995</v>
      </c>
      <c r="J65" s="102"/>
    </row>
    <row r="66" spans="1:12" x14ac:dyDescent="0.2">
      <c r="B66" s="105">
        <v>1</v>
      </c>
      <c r="C66" s="88" t="s">
        <v>87</v>
      </c>
      <c r="D66" s="79">
        <v>35</v>
      </c>
      <c r="F66" s="79">
        <f t="shared" si="0"/>
        <v>35</v>
      </c>
      <c r="H66" s="93">
        <v>89</v>
      </c>
      <c r="I66" s="102">
        <f t="shared" si="2"/>
        <v>89</v>
      </c>
      <c r="J66" s="102"/>
    </row>
    <row r="67" spans="1:12" x14ac:dyDescent="0.2">
      <c r="B67" s="105">
        <v>1</v>
      </c>
      <c r="C67" s="88" t="s">
        <v>27</v>
      </c>
      <c r="D67" s="79">
        <v>35</v>
      </c>
      <c r="F67" s="79">
        <f t="shared" si="0"/>
        <v>35</v>
      </c>
      <c r="H67" s="93">
        <v>65</v>
      </c>
      <c r="I67" s="102">
        <f t="shared" si="2"/>
        <v>65</v>
      </c>
      <c r="J67" s="102"/>
    </row>
    <row r="68" spans="1:12" x14ac:dyDescent="0.2">
      <c r="B68" s="105">
        <v>1</v>
      </c>
      <c r="C68" s="92" t="s">
        <v>17</v>
      </c>
      <c r="H68" s="93">
        <v>75</v>
      </c>
      <c r="I68" s="102">
        <f t="shared" si="2"/>
        <v>75</v>
      </c>
      <c r="J68" s="102"/>
    </row>
    <row r="69" spans="1:12" x14ac:dyDescent="0.2">
      <c r="B69" s="105"/>
      <c r="C69" s="92" t="s">
        <v>131</v>
      </c>
      <c r="H69" s="93">
        <v>125</v>
      </c>
      <c r="I69" s="102" t="str">
        <f t="shared" si="2"/>
        <v/>
      </c>
      <c r="J69" s="102"/>
    </row>
    <row r="70" spans="1:12" x14ac:dyDescent="0.2">
      <c r="B70" s="105">
        <v>1</v>
      </c>
      <c r="C70" s="92" t="str">
        <f>'964'!C56</f>
        <v>Shroud Blockoff kit ($15 with popular options)</v>
      </c>
      <c r="D70" s="79">
        <v>6</v>
      </c>
      <c r="H70" s="93">
        <f>'964'!H56</f>
        <v>39</v>
      </c>
      <c r="I70" s="102">
        <f t="shared" si="2"/>
        <v>39</v>
      </c>
      <c r="J70" s="102"/>
    </row>
    <row r="71" spans="1:12" x14ac:dyDescent="0.2">
      <c r="B71" s="105"/>
      <c r="C71" s="92" t="str">
        <f>'964'!C57</f>
        <v>Modify AC Bracket (No cost option with popular options)</v>
      </c>
      <c r="D71" s="79">
        <v>0</v>
      </c>
      <c r="F71" s="79" t="str">
        <f>IF(B71&gt;0,B71*D71,"")</f>
        <v/>
      </c>
      <c r="H71" s="116">
        <f>'964'!H57</f>
        <v>50</v>
      </c>
      <c r="I71" s="102" t="str">
        <f t="shared" si="2"/>
        <v/>
      </c>
      <c r="J71" s="113"/>
    </row>
    <row r="72" spans="1:12" x14ac:dyDescent="0.2">
      <c r="B72" s="79"/>
      <c r="G72" s="79" t="e">
        <f>SUM(F61:F71)</f>
        <v>#VALUE!</v>
      </c>
      <c r="I72" s="102"/>
      <c r="J72" s="102">
        <f>SUM(I61:I71)</f>
        <v>1263</v>
      </c>
    </row>
    <row r="73" spans="1:12" x14ac:dyDescent="0.2">
      <c r="B73" s="79"/>
      <c r="C73" s="92"/>
      <c r="I73" s="102"/>
    </row>
    <row r="74" spans="1:12" x14ac:dyDescent="0.2">
      <c r="A74" s="87" t="s">
        <v>22</v>
      </c>
      <c r="B74" s="114" t="str">
        <f>IF(AND(OR(B63=1,B64=1),SUM(B68:B71)&gt;=2),1,"")</f>
        <v/>
      </c>
      <c r="C74" s="88" t="s">
        <v>65</v>
      </c>
      <c r="H74" s="93">
        <f>-61-SUM(I70:I71)</f>
        <v>-100</v>
      </c>
      <c r="I74" s="102" t="str">
        <f>IF(B74=1,B74*H74,"")</f>
        <v/>
      </c>
    </row>
    <row r="75" spans="1:12" x14ac:dyDescent="0.2">
      <c r="B75" s="114" t="str">
        <f>IF(B74=1,"",IF(AND(OR(B64=1,B63=1),NOT(CONDITION="CUST")),1,""))</f>
        <v/>
      </c>
      <c r="C75" s="88" t="s">
        <v>45</v>
      </c>
      <c r="H75" s="98">
        <v>-100</v>
      </c>
      <c r="I75" s="115" t="str">
        <f>IF(B75=1,B75*H75,"")</f>
        <v/>
      </c>
      <c r="J75" s="98"/>
    </row>
    <row r="76" spans="1:12" x14ac:dyDescent="0.2">
      <c r="B76" s="90" t="str">
        <f>IF(B74=1,"",IF(AND(OR(B64=1,B63=1),(CONDITION="CUST")),1,""))</f>
        <v/>
      </c>
      <c r="C76" s="88" t="s">
        <v>32</v>
      </c>
      <c r="H76" s="116">
        <v>-50</v>
      </c>
      <c r="I76" s="113" t="str">
        <f>IF(B76=1,B76*H76,"")</f>
        <v/>
      </c>
      <c r="J76" s="116"/>
    </row>
    <row r="77" spans="1:12" s="89" customFormat="1" x14ac:dyDescent="0.2">
      <c r="A77" s="79"/>
      <c r="C77" s="88"/>
      <c r="D77" s="79"/>
      <c r="E77" s="79"/>
      <c r="F77" s="79"/>
      <c r="G77" s="79"/>
      <c r="H77" s="98"/>
      <c r="I77" s="98"/>
      <c r="J77" s="117">
        <f>SUM(I74:I76)</f>
        <v>0</v>
      </c>
      <c r="K77" s="79"/>
      <c r="L77" s="118"/>
    </row>
    <row r="78" spans="1:12" x14ac:dyDescent="0.2">
      <c r="B78" s="79"/>
      <c r="C78" s="92"/>
      <c r="I78" s="102"/>
    </row>
    <row r="79" spans="1:12" x14ac:dyDescent="0.2">
      <c r="A79" s="87" t="s">
        <v>24</v>
      </c>
      <c r="B79" s="105"/>
      <c r="C79" s="92" t="str">
        <f>'964'!C65</f>
        <v>CF Heater Tube</v>
      </c>
      <c r="D79" s="79">
        <v>140</v>
      </c>
      <c r="F79" s="79" t="str">
        <f>IF(B79&gt;0,B79*D79,"")</f>
        <v/>
      </c>
      <c r="H79" s="93">
        <f>'964'!H65</f>
        <v>299</v>
      </c>
      <c r="I79" s="102" t="str">
        <f t="shared" ref="I79:I105" si="3">IF(B79&gt;0,B79*H79,"")</f>
        <v/>
      </c>
      <c r="J79" s="102"/>
    </row>
    <row r="80" spans="1:12" ht="12" customHeight="1" x14ac:dyDescent="0.2">
      <c r="A80" s="87"/>
      <c r="B80" s="105"/>
      <c r="C80" s="13" t="s">
        <v>134</v>
      </c>
      <c r="H80" s="93">
        <v>195</v>
      </c>
      <c r="I80" s="102" t="str">
        <f t="shared" si="3"/>
        <v/>
      </c>
      <c r="J80" s="102"/>
    </row>
    <row r="81" spans="1:10" x14ac:dyDescent="0.2">
      <c r="B81" s="105"/>
      <c r="C81" s="141" t="s">
        <v>136</v>
      </c>
      <c r="H81" s="146">
        <v>85</v>
      </c>
      <c r="I81" s="102" t="str">
        <f t="shared" si="3"/>
        <v/>
      </c>
      <c r="J81" s="102"/>
    </row>
    <row r="82" spans="1:10" x14ac:dyDescent="0.2">
      <c r="B82" s="105"/>
      <c r="C82" s="141" t="s">
        <v>135</v>
      </c>
      <c r="H82" s="146">
        <v>85</v>
      </c>
      <c r="I82" s="102" t="str">
        <f t="shared" si="3"/>
        <v/>
      </c>
      <c r="J82" s="102"/>
    </row>
    <row r="83" spans="1:10" x14ac:dyDescent="0.2">
      <c r="B83" s="105">
        <v>1</v>
      </c>
      <c r="C83" s="141" t="s">
        <v>137</v>
      </c>
      <c r="H83" s="146">
        <v>25</v>
      </c>
      <c r="I83" s="102">
        <f t="shared" si="3"/>
        <v>25</v>
      </c>
      <c r="J83" s="102"/>
    </row>
    <row r="84" spans="1:10" x14ac:dyDescent="0.2">
      <c r="B84" s="105"/>
      <c r="C84" s="92" t="s">
        <v>67</v>
      </c>
      <c r="H84" s="93">
        <v>39</v>
      </c>
      <c r="I84" s="102" t="str">
        <f t="shared" si="3"/>
        <v/>
      </c>
      <c r="J84" s="102"/>
    </row>
    <row r="85" spans="1:10" x14ac:dyDescent="0.2">
      <c r="B85" s="105">
        <v>1</v>
      </c>
      <c r="C85" s="88" t="str">
        <f>'964'!C68</f>
        <v>Single Pulley Alternator Conversion</v>
      </c>
      <c r="D85" s="79">
        <v>98</v>
      </c>
      <c r="F85" s="79">
        <f t="shared" ref="F85:F98" si="4">IF(B85&gt;0,B85*D85,"")</f>
        <v>98</v>
      </c>
      <c r="H85" s="93">
        <f>'964'!H68</f>
        <v>139</v>
      </c>
      <c r="I85" s="102">
        <f t="shared" si="3"/>
        <v>139</v>
      </c>
      <c r="J85" s="102"/>
    </row>
    <row r="86" spans="1:10" x14ac:dyDescent="0.2">
      <c r="B86" s="105"/>
      <c r="C86" s="88" t="str">
        <f>'964'!C69</f>
        <v>Oil Breatther Line - Intake boot to oil filler neck on tank</v>
      </c>
      <c r="D86" s="79">
        <v>99</v>
      </c>
      <c r="F86" s="79" t="str">
        <f t="shared" ref="F86:F87" si="5">IF(B86&gt;0,B86*D86,"")</f>
        <v/>
      </c>
      <c r="H86" s="93">
        <f>'964'!H69</f>
        <v>48</v>
      </c>
      <c r="I86" s="102" t="str">
        <f t="shared" si="3"/>
        <v/>
      </c>
      <c r="J86" s="102"/>
    </row>
    <row r="87" spans="1:10" x14ac:dyDescent="0.2">
      <c r="B87" s="105"/>
      <c r="C87" s="88" t="str">
        <f>'964'!C70</f>
        <v>Oil Breatherr Line - Oil Console on engine to lower oil tank</v>
      </c>
      <c r="D87" s="79">
        <v>100</v>
      </c>
      <c r="F87" s="79" t="str">
        <f t="shared" si="5"/>
        <v/>
      </c>
      <c r="H87" s="93">
        <f>'964'!H70</f>
        <v>48</v>
      </c>
      <c r="I87" s="102" t="str">
        <f t="shared" si="3"/>
        <v/>
      </c>
      <c r="J87" s="102"/>
    </row>
    <row r="88" spans="1:10" x14ac:dyDescent="0.2">
      <c r="B88" s="105"/>
      <c r="C88" s="88" t="str">
        <f>'964'!C71</f>
        <v>Oil breather dual coupler kit with 8 euro clamps</v>
      </c>
      <c r="D88" s="79">
        <v>101</v>
      </c>
      <c r="F88" s="79" t="str">
        <f t="shared" ref="F88" si="6">IF(B88&gt;0,B88*D88,"")</f>
        <v/>
      </c>
      <c r="H88" s="93">
        <f>'964'!H71</f>
        <v>36</v>
      </c>
      <c r="I88" s="102" t="str">
        <f t="shared" si="3"/>
        <v/>
      </c>
      <c r="J88" s="102"/>
    </row>
    <row r="89" spans="1:10" x14ac:dyDescent="0.2">
      <c r="B89" s="105">
        <v>1</v>
      </c>
      <c r="C89" s="141" t="s">
        <v>230</v>
      </c>
      <c r="H89" s="93">
        <v>95</v>
      </c>
      <c r="I89" s="102">
        <f t="shared" si="3"/>
        <v>95</v>
      </c>
      <c r="J89" s="102"/>
    </row>
    <row r="90" spans="1:10" x14ac:dyDescent="0.2">
      <c r="B90" s="105">
        <v>1</v>
      </c>
      <c r="C90" s="141" t="s">
        <v>229</v>
      </c>
      <c r="H90" s="93">
        <v>65</v>
      </c>
      <c r="I90" s="102">
        <f t="shared" si="3"/>
        <v>65</v>
      </c>
      <c r="J90" s="102"/>
    </row>
    <row r="91" spans="1:10" x14ac:dyDescent="0.2">
      <c r="B91" s="105"/>
      <c r="C91" s="88" t="str">
        <f>'964'!C72</f>
        <v xml:space="preserve">New Bosch Motronic Fuel Pump Early car </v>
      </c>
      <c r="D91" s="79">
        <v>93</v>
      </c>
      <c r="F91" s="79" t="str">
        <f t="shared" si="4"/>
        <v/>
      </c>
      <c r="H91" s="93">
        <f>'964'!H72</f>
        <v>199</v>
      </c>
      <c r="I91" s="102" t="str">
        <f t="shared" si="3"/>
        <v/>
      </c>
      <c r="J91" s="102"/>
    </row>
    <row r="92" spans="1:10" x14ac:dyDescent="0.2">
      <c r="A92" s="89"/>
      <c r="B92" s="105"/>
      <c r="C92" s="88" t="str">
        <f>'964'!C73</f>
        <v>Fuel Line - to filter Inlet -w- barb connector  (Early cars only)</v>
      </c>
      <c r="D92" s="89"/>
      <c r="E92" s="89"/>
      <c r="F92" s="79" t="str">
        <f t="shared" si="4"/>
        <v/>
      </c>
      <c r="G92" s="89"/>
      <c r="H92" s="93">
        <f>'964'!H73</f>
        <v>55</v>
      </c>
      <c r="I92" s="102" t="str">
        <f t="shared" si="3"/>
        <v/>
      </c>
      <c r="J92" s="121"/>
    </row>
    <row r="93" spans="1:10" ht="38.25" x14ac:dyDescent="0.2">
      <c r="B93" s="120"/>
      <c r="C93" s="88" t="str">
        <f>'964'!C74</f>
        <v>Early Car Fuel Line Kit, 22' braided AN hose, 1 banjo -w- nut and crush rings, 3-16mm ball, 1-14mm ball 1-14bAN6+AN6-90, NET UPGRADE- Uses early SC filter</v>
      </c>
      <c r="D93" s="89"/>
      <c r="E93" s="89"/>
      <c r="G93" s="89"/>
      <c r="H93" s="93">
        <f>'964'!H74</f>
        <v>249</v>
      </c>
      <c r="I93" s="102" t="str">
        <f t="shared" si="3"/>
        <v/>
      </c>
      <c r="J93" s="102"/>
    </row>
    <row r="94" spans="1:10" ht="14.25" customHeight="1" x14ac:dyDescent="0.2">
      <c r="B94" s="105"/>
      <c r="C94" s="88" t="str">
        <f>'964'!C75</f>
        <v>915 Starter Ring Gear</v>
      </c>
      <c r="D94" s="89">
        <v>65</v>
      </c>
      <c r="E94" s="89"/>
      <c r="F94" s="79" t="str">
        <f t="shared" si="4"/>
        <v/>
      </c>
      <c r="H94" s="93">
        <f>'964'!H75</f>
        <v>145</v>
      </c>
      <c r="I94" s="102" t="str">
        <f t="shared" si="3"/>
        <v/>
      </c>
      <c r="J94" s="102"/>
    </row>
    <row r="95" spans="1:10" ht="14.25" customHeight="1" x14ac:dyDescent="0.2">
      <c r="B95" s="105"/>
      <c r="C95" s="88" t="str">
        <f>'964'!C76</f>
        <v>G50 Starter Ring Gear</v>
      </c>
      <c r="D95" s="89">
        <v>66</v>
      </c>
      <c r="E95" s="89"/>
      <c r="F95" s="79" t="str">
        <f t="shared" ref="F95" si="7">IF(B95&gt;0,B95*D95,"")</f>
        <v/>
      </c>
      <c r="H95" s="93">
        <f>'964'!H76</f>
        <v>160</v>
      </c>
      <c r="I95" s="102" t="str">
        <f t="shared" si="3"/>
        <v/>
      </c>
      <c r="J95" s="102"/>
    </row>
    <row r="96" spans="1:10" x14ac:dyDescent="0.2">
      <c r="B96" s="105">
        <v>1</v>
      </c>
      <c r="C96" s="88" t="s">
        <v>89</v>
      </c>
      <c r="D96" s="89">
        <v>30</v>
      </c>
      <c r="E96" s="89"/>
      <c r="F96" s="79">
        <f t="shared" si="4"/>
        <v>30</v>
      </c>
      <c r="H96" s="93">
        <v>125</v>
      </c>
      <c r="I96" s="102">
        <f t="shared" si="3"/>
        <v>125</v>
      </c>
      <c r="J96" s="102"/>
    </row>
    <row r="97" spans="1:13" x14ac:dyDescent="0.2">
      <c r="B97" s="105">
        <v>1</v>
      </c>
      <c r="C97" s="88" t="str">
        <f>'964'!C78</f>
        <v>Distributor Breather Hose Kit</v>
      </c>
      <c r="F97" s="79">
        <f t="shared" si="4"/>
        <v>0</v>
      </c>
      <c r="H97" s="146">
        <f>'964'!H78</f>
        <v>28</v>
      </c>
      <c r="I97" s="102">
        <f t="shared" si="3"/>
        <v>28</v>
      </c>
      <c r="J97" s="102"/>
    </row>
    <row r="98" spans="1:13" x14ac:dyDescent="0.2">
      <c r="B98" s="105"/>
      <c r="C98" s="88" t="str">
        <f>'964'!C79</f>
        <v>Replacement Factory Fan Belt</v>
      </c>
      <c r="F98" s="79" t="str">
        <f t="shared" si="4"/>
        <v/>
      </c>
      <c r="H98" s="146">
        <f>'964'!H79</f>
        <v>14</v>
      </c>
      <c r="I98" s="102" t="str">
        <f t="shared" si="3"/>
        <v/>
      </c>
      <c r="J98" s="102"/>
    </row>
    <row r="99" spans="1:13" x14ac:dyDescent="0.2">
      <c r="B99" s="105">
        <v>1</v>
      </c>
      <c r="C99" s="88" t="str">
        <f>'964'!C80</f>
        <v xml:space="preserve">Gates "Green Stripe" / Napa XL extreme duty belt - reccomended </v>
      </c>
      <c r="H99" s="146">
        <f>'964'!H80</f>
        <v>29</v>
      </c>
      <c r="I99" s="102">
        <f t="shared" si="3"/>
        <v>29</v>
      </c>
      <c r="J99" s="102"/>
    </row>
    <row r="100" spans="1:13" x14ac:dyDescent="0.2">
      <c r="A100" s="79" t="s">
        <v>41</v>
      </c>
      <c r="B100" s="105"/>
      <c r="C100" s="122"/>
      <c r="D100" s="105"/>
      <c r="E100" s="123"/>
      <c r="G100" s="105"/>
      <c r="H100" s="147"/>
      <c r="I100" s="102" t="str">
        <f t="shared" si="3"/>
        <v/>
      </c>
      <c r="J100" s="102"/>
    </row>
    <row r="101" spans="1:13" x14ac:dyDescent="0.2">
      <c r="B101" s="105"/>
      <c r="C101" s="122"/>
      <c r="D101" s="105"/>
      <c r="E101" s="123"/>
      <c r="G101" s="105"/>
      <c r="H101" s="147"/>
      <c r="I101" s="102" t="str">
        <f t="shared" si="3"/>
        <v/>
      </c>
      <c r="J101" s="102"/>
    </row>
    <row r="102" spans="1:13" x14ac:dyDescent="0.2">
      <c r="B102" s="105"/>
      <c r="C102" s="122"/>
      <c r="D102" s="105"/>
      <c r="E102" s="123"/>
      <c r="G102" s="105"/>
      <c r="H102" s="147"/>
      <c r="I102" s="102" t="str">
        <f t="shared" si="3"/>
        <v/>
      </c>
      <c r="J102" s="102"/>
    </row>
    <row r="103" spans="1:13" x14ac:dyDescent="0.2">
      <c r="B103" s="105"/>
      <c r="C103" s="124"/>
      <c r="D103" s="105"/>
      <c r="E103" s="123"/>
      <c r="G103" s="105"/>
      <c r="H103" s="147"/>
      <c r="I103" s="102" t="str">
        <f t="shared" si="3"/>
        <v/>
      </c>
      <c r="J103" s="102"/>
    </row>
    <row r="104" spans="1:13" x14ac:dyDescent="0.2">
      <c r="B104" s="105"/>
      <c r="C104" s="124"/>
      <c r="D104" s="105"/>
      <c r="E104" s="123"/>
      <c r="G104" s="105"/>
      <c r="H104" s="147"/>
      <c r="I104" s="102" t="str">
        <f t="shared" si="3"/>
        <v/>
      </c>
      <c r="J104" s="102"/>
    </row>
    <row r="105" spans="1:13" ht="13.5" thickBot="1" x14ac:dyDescent="0.25">
      <c r="B105" s="105"/>
      <c r="C105" s="124"/>
      <c r="D105" s="105"/>
      <c r="E105" s="123"/>
      <c r="G105" s="105"/>
      <c r="H105" s="147"/>
      <c r="I105" s="102" t="str">
        <f t="shared" si="3"/>
        <v/>
      </c>
      <c r="J105" s="102"/>
    </row>
    <row r="106" spans="1:13" ht="13.5" thickBot="1" x14ac:dyDescent="0.25">
      <c r="B106" s="125"/>
      <c r="F106" s="79" t="str">
        <f>IF(B106&gt;0,B106*D106,"")</f>
        <v/>
      </c>
      <c r="G106" s="110">
        <f>SUM(F79:F105)</f>
        <v>128</v>
      </c>
      <c r="H106" s="98"/>
      <c r="I106" s="115"/>
      <c r="J106" s="93">
        <f>SUM(I79:I105)</f>
        <v>506</v>
      </c>
    </row>
    <row r="107" spans="1:13" ht="13.5" thickBot="1" x14ac:dyDescent="0.25">
      <c r="A107" s="126" t="s">
        <v>28</v>
      </c>
      <c r="B107" s="108"/>
      <c r="C107" s="109"/>
      <c r="D107" s="110"/>
      <c r="E107" s="96"/>
      <c r="F107" s="79" t="str">
        <f>IF(B107&gt;0,B107*D107,"")</f>
        <v/>
      </c>
      <c r="H107" s="111"/>
      <c r="I107" s="111"/>
      <c r="J107" s="111"/>
      <c r="K107" s="127">
        <f>SUM(J58:J106)</f>
        <v>3764</v>
      </c>
    </row>
    <row r="108" spans="1:13" x14ac:dyDescent="0.2">
      <c r="F108" s="79" t="str">
        <f>IF(B108&gt;0,B108*D108,"")</f>
        <v/>
      </c>
    </row>
    <row r="109" spans="1:13" x14ac:dyDescent="0.2">
      <c r="A109" s="96"/>
      <c r="B109" s="125"/>
      <c r="C109" s="128"/>
      <c r="D109" s="96"/>
      <c r="E109" s="96"/>
      <c r="F109" s="79" t="str">
        <f>IF(B109&gt;0,B109*D109,"")</f>
        <v/>
      </c>
      <c r="G109" s="96"/>
      <c r="H109" s="98"/>
      <c r="I109" s="115"/>
      <c r="J109" s="98"/>
      <c r="K109" s="117"/>
    </row>
    <row r="110" spans="1:13" x14ac:dyDescent="0.2">
      <c r="A110" s="87" t="s">
        <v>26</v>
      </c>
      <c r="B110" s="125"/>
      <c r="C110" s="92"/>
      <c r="I110" s="102" t="str">
        <f t="shared" ref="I110:I121" si="8">IF(B110&gt;0,B110*H110,"")</f>
        <v/>
      </c>
      <c r="J110" s="102"/>
    </row>
    <row r="111" spans="1:13" x14ac:dyDescent="0.2">
      <c r="B111" s="105"/>
      <c r="C111" s="3" t="s">
        <v>59</v>
      </c>
      <c r="H111" s="93">
        <v>1895</v>
      </c>
      <c r="I111" s="102" t="str">
        <f t="shared" si="8"/>
        <v/>
      </c>
      <c r="J111" s="102"/>
    </row>
    <row r="112" spans="1:13" x14ac:dyDescent="0.2">
      <c r="B112" s="105"/>
      <c r="C112" s="3" t="s">
        <v>58</v>
      </c>
      <c r="D112" s="79">
        <v>1650</v>
      </c>
      <c r="F112" s="79" t="str">
        <f>IF(B112&gt;0,B112*D112,"")</f>
        <v/>
      </c>
      <c r="H112" s="93">
        <v>2995</v>
      </c>
      <c r="I112" s="102" t="str">
        <f t="shared" si="8"/>
        <v/>
      </c>
      <c r="J112" s="102"/>
      <c r="M112" s="79">
        <v>1</v>
      </c>
    </row>
    <row r="113" spans="1:11" x14ac:dyDescent="0.2">
      <c r="B113" s="105"/>
      <c r="C113" s="171" t="s">
        <v>209</v>
      </c>
      <c r="H113" s="93">
        <v>199</v>
      </c>
      <c r="I113" s="102" t="str">
        <f t="shared" si="8"/>
        <v/>
      </c>
      <c r="J113" s="102"/>
    </row>
    <row r="114" spans="1:11" x14ac:dyDescent="0.2">
      <c r="B114" s="105"/>
      <c r="C114" s="143" t="s">
        <v>208</v>
      </c>
      <c r="D114" s="79">
        <v>73</v>
      </c>
      <c r="F114" s="79" t="str">
        <f>IF(B114&gt;0,B114*D114,"")</f>
        <v/>
      </c>
      <c r="H114" s="93">
        <v>150</v>
      </c>
      <c r="I114" s="102" t="str">
        <f t="shared" si="8"/>
        <v/>
      </c>
      <c r="J114" s="115"/>
      <c r="K114" s="96"/>
    </row>
    <row r="115" spans="1:11" x14ac:dyDescent="0.2">
      <c r="B115" s="105"/>
      <c r="C115" s="92" t="s">
        <v>62</v>
      </c>
      <c r="H115" s="93" t="str">
        <f>'964'!H96</f>
        <v>included</v>
      </c>
      <c r="I115" s="102" t="str">
        <f t="shared" si="8"/>
        <v/>
      </c>
      <c r="J115" s="102"/>
    </row>
    <row r="116" spans="1:11" x14ac:dyDescent="0.2">
      <c r="B116" s="105"/>
      <c r="C116" s="92" t="s">
        <v>63</v>
      </c>
      <c r="H116" s="93">
        <f>'964'!H97</f>
        <v>395</v>
      </c>
      <c r="I116" s="102" t="str">
        <f t="shared" si="8"/>
        <v/>
      </c>
      <c r="J116" s="102"/>
    </row>
    <row r="117" spans="1:11" x14ac:dyDescent="0.2">
      <c r="B117" s="105"/>
      <c r="C117" s="92" t="s">
        <v>64</v>
      </c>
      <c r="H117" s="93">
        <f>'964'!H98</f>
        <v>495</v>
      </c>
      <c r="I117" s="102" t="str">
        <f t="shared" si="8"/>
        <v/>
      </c>
      <c r="J117" s="115"/>
      <c r="K117" s="96"/>
    </row>
    <row r="118" spans="1:11" x14ac:dyDescent="0.2">
      <c r="B118" s="105">
        <v>1</v>
      </c>
      <c r="C118" s="3" t="s">
        <v>60</v>
      </c>
      <c r="D118" s="79">
        <v>50</v>
      </c>
      <c r="F118" s="79">
        <f>IF(B118&gt;0,B118*D118,"")</f>
        <v>50</v>
      </c>
      <c r="H118" s="93">
        <f>'964'!H102</f>
        <v>1195</v>
      </c>
      <c r="I118" s="102">
        <f t="shared" si="8"/>
        <v>1195</v>
      </c>
      <c r="J118" s="102"/>
    </row>
    <row r="119" spans="1:11" ht="15" customHeight="1" x14ac:dyDescent="0.2">
      <c r="B119" s="105"/>
      <c r="C119" s="3" t="s">
        <v>86</v>
      </c>
      <c r="H119" s="93">
        <f>'964'!H103</f>
        <v>199</v>
      </c>
      <c r="I119" s="102" t="str">
        <f t="shared" si="8"/>
        <v/>
      </c>
      <c r="J119" s="102"/>
    </row>
    <row r="120" spans="1:11" ht="15" customHeight="1" x14ac:dyDescent="0.2">
      <c r="B120" s="105">
        <v>1</v>
      </c>
      <c r="C120" s="92" t="s">
        <v>84</v>
      </c>
      <c r="H120" s="93">
        <f>'964'!H101</f>
        <v>139</v>
      </c>
      <c r="I120" s="102">
        <f t="shared" si="8"/>
        <v>139</v>
      </c>
      <c r="J120" s="102"/>
    </row>
    <row r="121" spans="1:11" ht="15" customHeight="1" thickBot="1" x14ac:dyDescent="0.25">
      <c r="B121" s="105"/>
      <c r="C121" s="3" t="s">
        <v>66</v>
      </c>
      <c r="H121" s="93">
        <f>'964'!H104</f>
        <v>350</v>
      </c>
      <c r="I121" s="102" t="str">
        <f t="shared" si="8"/>
        <v/>
      </c>
      <c r="J121" s="102"/>
    </row>
    <row r="122" spans="1:11" ht="13.5" thickBot="1" x14ac:dyDescent="0.25">
      <c r="A122" s="126" t="s">
        <v>30</v>
      </c>
      <c r="B122" s="130"/>
      <c r="C122" s="110"/>
      <c r="D122" s="110"/>
      <c r="E122" s="96"/>
      <c r="F122" s="79" t="str">
        <f t="shared" ref="F122:F136" si="9">IF(B122&gt;0,B122*D122,"")</f>
        <v/>
      </c>
      <c r="G122" s="110">
        <f>SUM(F110:F117)</f>
        <v>0</v>
      </c>
      <c r="H122" s="111"/>
      <c r="I122" s="110"/>
      <c r="J122" s="111"/>
      <c r="K122" s="112">
        <f>SUM(I110:I121)</f>
        <v>1334</v>
      </c>
    </row>
    <row r="123" spans="1:11" x14ac:dyDescent="0.2">
      <c r="B123" s="79"/>
      <c r="F123" s="79" t="str">
        <f t="shared" si="9"/>
        <v/>
      </c>
      <c r="I123" s="102"/>
      <c r="J123" s="102"/>
    </row>
    <row r="124" spans="1:11" ht="25.5" x14ac:dyDescent="0.2">
      <c r="A124" s="239" t="s">
        <v>155</v>
      </c>
      <c r="B124" s="142">
        <v>1</v>
      </c>
      <c r="C124" s="33" t="s">
        <v>156</v>
      </c>
      <c r="D124" s="2"/>
      <c r="E124" s="2"/>
      <c r="F124" t="s">
        <v>124</v>
      </c>
      <c r="G124" s="2"/>
      <c r="H124" s="152">
        <v>895</v>
      </c>
      <c r="I124" s="102">
        <f t="shared" ref="I124:I135" si="10">IF(B124&gt;0,B124*H124,"")</f>
        <v>895</v>
      </c>
      <c r="J124" s="98"/>
      <c r="K124" s="98"/>
    </row>
    <row r="125" spans="1:11" ht="25.5" x14ac:dyDescent="0.2">
      <c r="A125" s="239"/>
      <c r="B125" s="35"/>
      <c r="C125" s="29" t="s">
        <v>233</v>
      </c>
      <c r="D125" s="2"/>
      <c r="E125" s="2"/>
      <c r="F125"/>
      <c r="G125" s="2"/>
      <c r="H125" s="159">
        <v>995</v>
      </c>
      <c r="I125" s="102" t="str">
        <f t="shared" si="10"/>
        <v/>
      </c>
      <c r="J125" s="98"/>
      <c r="K125" s="98"/>
    </row>
    <row r="126" spans="1:11" ht="25.5" x14ac:dyDescent="0.2">
      <c r="A126" s="239"/>
      <c r="B126" s="35"/>
      <c r="C126" s="29" t="s">
        <v>234</v>
      </c>
      <c r="D126" s="2"/>
      <c r="E126" s="2"/>
      <c r="F126"/>
      <c r="G126" s="2"/>
      <c r="H126" s="159">
        <v>1395</v>
      </c>
      <c r="I126" s="102"/>
      <c r="J126" s="98"/>
      <c r="K126" s="98"/>
    </row>
    <row r="127" spans="1:11" x14ac:dyDescent="0.2">
      <c r="A127" s="239"/>
      <c r="B127" s="35"/>
      <c r="C127" s="13" t="s">
        <v>184</v>
      </c>
      <c r="D127" s="2"/>
      <c r="E127" s="2"/>
      <c r="F127"/>
      <c r="G127" s="2"/>
      <c r="H127" s="152">
        <v>995</v>
      </c>
      <c r="I127" s="102" t="str">
        <f t="shared" si="10"/>
        <v/>
      </c>
      <c r="J127" s="98"/>
      <c r="K127" s="98"/>
    </row>
    <row r="128" spans="1:11" ht="25.5" x14ac:dyDescent="0.2">
      <c r="A128" s="239"/>
      <c r="B128" s="35"/>
      <c r="C128" s="13" t="s">
        <v>185</v>
      </c>
      <c r="D128" s="2"/>
      <c r="E128" s="2"/>
      <c r="F128" t="s">
        <v>124</v>
      </c>
      <c r="G128" s="2"/>
      <c r="H128" s="152">
        <v>995</v>
      </c>
      <c r="I128" s="102" t="str">
        <f t="shared" si="10"/>
        <v/>
      </c>
      <c r="J128" s="98"/>
      <c r="K128" s="98"/>
    </row>
    <row r="129" spans="1:11" x14ac:dyDescent="0.2">
      <c r="A129" s="239"/>
      <c r="B129" s="35"/>
      <c r="C129" s="29" t="s">
        <v>154</v>
      </c>
      <c r="D129" s="2"/>
      <c r="E129" s="2"/>
      <c r="F129" t="s">
        <v>124</v>
      </c>
      <c r="G129" s="2"/>
      <c r="H129" s="152">
        <v>1495</v>
      </c>
      <c r="I129" s="102" t="str">
        <f t="shared" si="10"/>
        <v/>
      </c>
      <c r="J129" s="98"/>
      <c r="K129" s="98"/>
    </row>
    <row r="130" spans="1:11" ht="25.5" x14ac:dyDescent="0.2">
      <c r="A130" s="239"/>
      <c r="B130" s="35"/>
      <c r="C130" s="59" t="s">
        <v>138</v>
      </c>
      <c r="D130" s="2"/>
      <c r="E130" s="2"/>
      <c r="F130"/>
      <c r="G130" s="2"/>
      <c r="H130" s="152">
        <v>1295</v>
      </c>
      <c r="I130" s="102" t="str">
        <f t="shared" si="10"/>
        <v/>
      </c>
      <c r="J130" s="98"/>
      <c r="K130" s="98"/>
    </row>
    <row r="131" spans="1:11" ht="25.5" x14ac:dyDescent="0.2">
      <c r="A131" s="239"/>
      <c r="B131" s="35"/>
      <c r="C131" s="220" t="s">
        <v>232</v>
      </c>
      <c r="D131" s="2"/>
      <c r="E131" s="2"/>
      <c r="F131"/>
      <c r="G131" s="2"/>
      <c r="H131" s="159">
        <v>1595</v>
      </c>
      <c r="I131" s="102" t="str">
        <f t="shared" si="10"/>
        <v/>
      </c>
      <c r="J131" s="98"/>
      <c r="K131" s="98"/>
    </row>
    <row r="132" spans="1:11" ht="25.5" x14ac:dyDescent="0.2">
      <c r="A132" s="219"/>
      <c r="B132" s="35"/>
      <c r="C132" s="220" t="s">
        <v>231</v>
      </c>
      <c r="D132" s="2"/>
      <c r="E132" s="2"/>
      <c r="F132"/>
      <c r="G132" s="2"/>
      <c r="H132" s="159">
        <v>2395</v>
      </c>
      <c r="I132" s="102"/>
      <c r="J132" s="98"/>
      <c r="K132" s="98"/>
    </row>
    <row r="133" spans="1:11" ht="25.5" x14ac:dyDescent="0.2">
      <c r="A133" s="219"/>
      <c r="B133" s="35"/>
      <c r="C133" s="220" t="s">
        <v>235</v>
      </c>
      <c r="D133" s="2"/>
      <c r="E133" s="2"/>
      <c r="F133"/>
      <c r="G133" s="2"/>
      <c r="H133" s="159">
        <v>2650</v>
      </c>
      <c r="I133" s="102"/>
      <c r="J133" s="98"/>
      <c r="K133" s="98"/>
    </row>
    <row r="134" spans="1:11" ht="25.5" x14ac:dyDescent="0.2">
      <c r="A134" s="240" t="s">
        <v>157</v>
      </c>
      <c r="B134" s="35"/>
      <c r="C134" s="33" t="s">
        <v>153</v>
      </c>
      <c r="D134" s="2"/>
      <c r="E134" s="2"/>
      <c r="F134" t="s">
        <v>124</v>
      </c>
      <c r="G134" s="2"/>
      <c r="H134" s="152">
        <v>395</v>
      </c>
      <c r="I134" s="102" t="str">
        <f t="shared" si="10"/>
        <v/>
      </c>
      <c r="J134" s="98"/>
      <c r="K134" s="98"/>
    </row>
    <row r="135" spans="1:11" ht="39" thickBot="1" x14ac:dyDescent="0.25">
      <c r="A135" s="240"/>
      <c r="B135" s="35"/>
      <c r="C135" s="59" t="s">
        <v>158</v>
      </c>
      <c r="D135" s="2"/>
      <c r="E135" s="2"/>
      <c r="F135"/>
      <c r="G135" s="2"/>
      <c r="H135" s="159">
        <v>199</v>
      </c>
      <c r="I135" s="102" t="str">
        <f t="shared" si="10"/>
        <v/>
      </c>
      <c r="J135" s="98"/>
      <c r="K135" s="98"/>
    </row>
    <row r="136" spans="1:11" ht="13.5" thickBot="1" x14ac:dyDescent="0.25">
      <c r="A136" s="126" t="s">
        <v>57</v>
      </c>
      <c r="B136" s="110"/>
      <c r="C136" s="110"/>
      <c r="D136" s="110"/>
      <c r="E136" s="96"/>
      <c r="F136" s="79" t="str">
        <f t="shared" si="9"/>
        <v/>
      </c>
      <c r="G136" s="110">
        <f>SUM(F123:F135)</f>
        <v>0</v>
      </c>
      <c r="H136" s="111"/>
      <c r="I136" s="110"/>
      <c r="J136" s="111"/>
      <c r="K136" s="112">
        <f>SUM(I124:I135)</f>
        <v>895</v>
      </c>
    </row>
    <row r="137" spans="1:11" x14ac:dyDescent="0.2">
      <c r="A137" s="161"/>
      <c r="B137" s="96"/>
      <c r="C137" s="96"/>
      <c r="D137" s="96"/>
      <c r="E137" s="96"/>
      <c r="G137" s="96"/>
      <c r="H137" s="98"/>
      <c r="I137" s="96"/>
      <c r="J137" s="98"/>
      <c r="K137" s="98"/>
    </row>
    <row r="138" spans="1:11" x14ac:dyDescent="0.2">
      <c r="A138" s="164" t="s">
        <v>144</v>
      </c>
      <c r="B138" s="35" t="str">
        <f>IF(AND(CONDITION="USED",ENGINE="95"),1,"")</f>
        <v/>
      </c>
      <c r="C138" s="13" t="s">
        <v>143</v>
      </c>
      <c r="D138" s="96"/>
      <c r="E138" s="96"/>
      <c r="G138" s="96"/>
      <c r="H138" s="145">
        <v>22990</v>
      </c>
      <c r="I138" s="102" t="str">
        <f t="shared" ref="I138:I144" si="11">IF(B138=1,B138*H138,"")</f>
        <v/>
      </c>
      <c r="J138" s="98"/>
      <c r="K138" s="98"/>
    </row>
    <row r="139" spans="1:11" ht="25.5" x14ac:dyDescent="0.2">
      <c r="A139" s="164" t="s">
        <v>145</v>
      </c>
      <c r="B139" s="35" t="str">
        <f>IF(AND(CONDITION="USED",ENGINE="VRUS"),1,"")</f>
        <v/>
      </c>
      <c r="C139" s="143" t="s">
        <v>228</v>
      </c>
      <c r="D139"/>
      <c r="E139"/>
      <c r="F139"/>
      <c r="G139"/>
      <c r="H139" s="145">
        <f>H138+3000</f>
        <v>25990</v>
      </c>
      <c r="I139" s="102" t="str">
        <f t="shared" si="11"/>
        <v/>
      </c>
      <c r="J139" s="98"/>
      <c r="K139" s="98"/>
    </row>
    <row r="140" spans="1:11" x14ac:dyDescent="0.2">
      <c r="A140" s="164" t="s">
        <v>145</v>
      </c>
      <c r="B140" s="35" t="str">
        <f>IF(AND(CONDITION="USED",ENGINE="VREURO"),1,"")</f>
        <v/>
      </c>
      <c r="C140" s="13" t="s">
        <v>148</v>
      </c>
      <c r="D140"/>
      <c r="E140"/>
      <c r="F140"/>
      <c r="G140"/>
      <c r="H140" s="145">
        <f>H139+2000</f>
        <v>27990</v>
      </c>
      <c r="I140" s="102" t="str">
        <f t="shared" si="11"/>
        <v/>
      </c>
      <c r="J140" s="98"/>
      <c r="K140" s="98"/>
    </row>
    <row r="141" spans="1:11" ht="25.5" x14ac:dyDescent="0.2">
      <c r="A141" s="165" t="s">
        <v>146</v>
      </c>
      <c r="B141" s="35" t="str">
        <f>IF(AND(CONDITION="TOP",ENGINE="95"),1,"")</f>
        <v/>
      </c>
      <c r="C141" s="13" t="s">
        <v>149</v>
      </c>
      <c r="D141">
        <v>6000</v>
      </c>
      <c r="E141"/>
      <c r="F141"/>
      <c r="G141"/>
      <c r="H141" s="145">
        <f>H138+5000</f>
        <v>27990</v>
      </c>
      <c r="I141" s="102" t="str">
        <f t="shared" si="11"/>
        <v/>
      </c>
      <c r="J141" s="98"/>
      <c r="K141" s="98"/>
    </row>
    <row r="142" spans="1:11" ht="38.25" x14ac:dyDescent="0.2">
      <c r="A142" s="165" t="s">
        <v>146</v>
      </c>
      <c r="B142" s="35" t="str">
        <f>IF(AND(CONDITION="TOP",ENGINE="VRUS"),1,"")</f>
        <v/>
      </c>
      <c r="C142" s="13" t="s">
        <v>182</v>
      </c>
      <c r="D142"/>
      <c r="E142"/>
      <c r="F142"/>
      <c r="G142"/>
      <c r="H142" s="145">
        <f t="shared" ref="H142:H143" si="12">H139+5000</f>
        <v>30990</v>
      </c>
      <c r="I142" s="102" t="str">
        <f t="shared" si="11"/>
        <v/>
      </c>
      <c r="J142" s="115"/>
      <c r="K142" s="102"/>
    </row>
    <row r="143" spans="1:11" ht="38.25" x14ac:dyDescent="0.2">
      <c r="A143" s="165" t="s">
        <v>146</v>
      </c>
      <c r="B143" s="35" t="str">
        <f>IF(AND(CONDITION="TOP",ENGINE="VREURO"),1,"")</f>
        <v/>
      </c>
      <c r="C143" s="13" t="s">
        <v>151</v>
      </c>
      <c r="D143"/>
      <c r="E143"/>
      <c r="F143"/>
      <c r="G143"/>
      <c r="H143" s="145">
        <f t="shared" si="12"/>
        <v>32990</v>
      </c>
      <c r="I143" s="102" t="str">
        <f t="shared" si="11"/>
        <v/>
      </c>
      <c r="J143" s="115"/>
      <c r="K143" s="102"/>
    </row>
    <row r="144" spans="1:11" ht="38.25" x14ac:dyDescent="0.2">
      <c r="A144" s="165" t="s">
        <v>147</v>
      </c>
      <c r="B144" s="35" t="str">
        <f>IF(AND(CONDITION="FULL",ENGINE="95V"),1,"")</f>
        <v/>
      </c>
      <c r="C144" s="13" t="s">
        <v>152</v>
      </c>
      <c r="D144">
        <v>6000</v>
      </c>
      <c r="E144"/>
      <c r="F144"/>
      <c r="G144"/>
      <c r="H144" s="145">
        <f>H141+2000</f>
        <v>29990</v>
      </c>
      <c r="I144" s="102" t="str">
        <f t="shared" si="11"/>
        <v/>
      </c>
      <c r="J144" s="115"/>
      <c r="K144" s="102"/>
    </row>
    <row r="145" spans="1:11" ht="38.25" x14ac:dyDescent="0.2">
      <c r="A145" s="165" t="s">
        <v>147</v>
      </c>
      <c r="B145" s="35" t="str">
        <f>IF(AND(CONDITION="FULL",ENGINE="VRUS"),1,"")</f>
        <v/>
      </c>
      <c r="C145" s="13" t="s">
        <v>183</v>
      </c>
      <c r="D145"/>
      <c r="E145"/>
      <c r="F145"/>
      <c r="G145"/>
      <c r="H145" s="145">
        <f>H142+2000</f>
        <v>32990</v>
      </c>
      <c r="I145" s="102" t="str">
        <f>IF(B145=1,B145*H145,"")</f>
        <v/>
      </c>
      <c r="J145" s="115"/>
      <c r="K145" s="102"/>
    </row>
    <row r="146" spans="1:11" ht="38.25" x14ac:dyDescent="0.2">
      <c r="A146" s="165" t="s">
        <v>147</v>
      </c>
      <c r="B146" s="35" t="str">
        <f>IF(AND(CONDITION="FULL",ENGINE="VREURO"),1,"")</f>
        <v/>
      </c>
      <c r="C146" s="13" t="s">
        <v>150</v>
      </c>
      <c r="D146"/>
      <c r="E146"/>
      <c r="F146"/>
      <c r="G146"/>
      <c r="H146" s="145">
        <f>H143+2000</f>
        <v>34990</v>
      </c>
      <c r="I146" s="102" t="str">
        <f>IF(B146=1,B146*H146,"")</f>
        <v/>
      </c>
      <c r="J146" s="115"/>
      <c r="K146" s="102"/>
    </row>
    <row r="147" spans="1:11" x14ac:dyDescent="0.2">
      <c r="A147" s="95"/>
      <c r="B147" s="35">
        <v>1</v>
      </c>
      <c r="C147" s="129" t="s">
        <v>53</v>
      </c>
      <c r="D147" s="95"/>
      <c r="E147" s="95"/>
      <c r="G147" s="95"/>
      <c r="H147" s="148"/>
      <c r="I147" s="131"/>
      <c r="J147" s="115"/>
      <c r="K147" s="102"/>
    </row>
    <row r="148" spans="1:11" x14ac:dyDescent="0.2">
      <c r="A148" s="95"/>
      <c r="B148" s="119">
        <f>B147</f>
        <v>1</v>
      </c>
      <c r="C148" s="132" t="s">
        <v>52</v>
      </c>
      <c r="D148" s="95"/>
      <c r="E148" s="95"/>
      <c r="G148" s="95"/>
      <c r="H148" s="148"/>
      <c r="I148" s="131"/>
      <c r="J148" s="115"/>
      <c r="K148" s="102"/>
    </row>
    <row r="149" spans="1:11" x14ac:dyDescent="0.2">
      <c r="A149" s="95"/>
      <c r="B149" s="119" t="str">
        <f>IF(OR(B141=1,B143=1,B146=1),1,"")</f>
        <v/>
      </c>
      <c r="C149" s="129" t="s">
        <v>90</v>
      </c>
      <c r="D149" s="95"/>
      <c r="E149" s="95"/>
      <c r="G149" s="95"/>
      <c r="H149" s="148"/>
      <c r="I149" s="131"/>
      <c r="J149" s="115"/>
      <c r="K149" s="102"/>
    </row>
    <row r="150" spans="1:11" ht="13.5" thickBot="1" x14ac:dyDescent="0.25">
      <c r="B150" s="125"/>
      <c r="F150" s="79" t="str">
        <f t="shared" ref="F150:F151" si="13">IF(B150&gt;0,B150*D150,"")</f>
        <v/>
      </c>
      <c r="H150" s="98"/>
      <c r="I150" s="115"/>
      <c r="J150" s="115"/>
      <c r="K150" s="115"/>
    </row>
    <row r="151" spans="1:11" ht="13.5" thickBot="1" x14ac:dyDescent="0.25">
      <c r="A151" s="126" t="s">
        <v>29</v>
      </c>
      <c r="B151" s="108"/>
      <c r="C151" s="109"/>
      <c r="D151" s="110"/>
      <c r="E151" s="96"/>
      <c r="F151" s="79" t="str">
        <f t="shared" si="13"/>
        <v/>
      </c>
      <c r="G151" s="110"/>
      <c r="H151" s="111"/>
      <c r="I151" s="133"/>
      <c r="J151" s="111"/>
      <c r="K151" s="134">
        <f>SUM(I138:I146)</f>
        <v>0</v>
      </c>
    </row>
    <row r="152" spans="1:11" x14ac:dyDescent="0.2">
      <c r="F152" s="79" t="str">
        <f t="shared" ref="F152:F162" si="14">IF(B152&gt;0,B152*D152,"")</f>
        <v/>
      </c>
      <c r="K152" s="106"/>
    </row>
    <row r="153" spans="1:11" x14ac:dyDescent="0.2">
      <c r="A153" s="87" t="s">
        <v>21</v>
      </c>
      <c r="B153" s="105">
        <v>1</v>
      </c>
      <c r="C153" s="88" t="s">
        <v>43</v>
      </c>
      <c r="F153" s="79">
        <f t="shared" si="14"/>
        <v>0</v>
      </c>
      <c r="H153" s="147"/>
      <c r="I153" s="102">
        <f>IF(B153&gt;0,B153*H153,"")</f>
        <v>0</v>
      </c>
    </row>
    <row r="154" spans="1:11" x14ac:dyDescent="0.2">
      <c r="B154" s="105"/>
      <c r="C154" s="88" t="s">
        <v>56</v>
      </c>
      <c r="F154" s="79" t="str">
        <f t="shared" si="14"/>
        <v/>
      </c>
      <c r="H154" s="147"/>
      <c r="I154" s="102" t="str">
        <f>IF(B154&gt;0,B154*H154,"")</f>
        <v/>
      </c>
      <c r="J154" s="102"/>
    </row>
    <row r="155" spans="1:11" x14ac:dyDescent="0.2">
      <c r="B155" s="105"/>
      <c r="C155" s="88" t="s">
        <v>55</v>
      </c>
      <c r="F155" s="79" t="str">
        <f t="shared" si="14"/>
        <v/>
      </c>
      <c r="H155" s="149">
        <v>55</v>
      </c>
      <c r="I155" s="102"/>
      <c r="J155" s="102"/>
    </row>
    <row r="156" spans="1:11" x14ac:dyDescent="0.2">
      <c r="B156" s="105"/>
      <c r="C156" s="88" t="s">
        <v>19</v>
      </c>
      <c r="F156" s="79" t="str">
        <f t="shared" si="14"/>
        <v/>
      </c>
      <c r="H156" s="93">
        <v>35</v>
      </c>
      <c r="I156" s="102" t="str">
        <f>IF(B156&gt;0,B156*H156,"")</f>
        <v/>
      </c>
      <c r="J156" s="102"/>
    </row>
    <row r="157" spans="1:11" ht="13.5" thickBot="1" x14ac:dyDescent="0.25">
      <c r="B157" s="105"/>
      <c r="C157" s="88" t="s">
        <v>20</v>
      </c>
      <c r="F157" s="79" t="str">
        <f t="shared" si="14"/>
        <v/>
      </c>
      <c r="H157" s="93">
        <v>65</v>
      </c>
      <c r="I157" s="102" t="str">
        <f>IF(B157&gt;0,B157*H157,"")</f>
        <v/>
      </c>
      <c r="J157" s="102"/>
    </row>
    <row r="158" spans="1:11" ht="13.5" thickBot="1" x14ac:dyDescent="0.25">
      <c r="A158" s="126" t="s">
        <v>44</v>
      </c>
      <c r="B158" s="108"/>
      <c r="C158" s="109"/>
      <c r="D158" s="110"/>
      <c r="E158" s="96"/>
      <c r="F158" s="79" t="str">
        <f t="shared" si="14"/>
        <v/>
      </c>
      <c r="G158" s="110"/>
      <c r="H158" s="111"/>
      <c r="I158" s="111"/>
      <c r="J158" s="111"/>
      <c r="K158" s="134">
        <f>SUM(I153:I157)</f>
        <v>0</v>
      </c>
    </row>
    <row r="159" spans="1:11" ht="13.5" thickBot="1" x14ac:dyDescent="0.25">
      <c r="F159" s="79" t="str">
        <f t="shared" si="14"/>
        <v/>
      </c>
    </row>
    <row r="160" spans="1:11" ht="13.5" thickBot="1" x14ac:dyDescent="0.25">
      <c r="B160" s="79"/>
      <c r="C160" s="79"/>
      <c r="F160" s="79" t="str">
        <f t="shared" si="14"/>
        <v/>
      </c>
      <c r="G160" s="79" t="e">
        <f>SUM(F30:F158)</f>
        <v>#VALUE!</v>
      </c>
      <c r="K160" s="135">
        <f>SUM(K107:K158)</f>
        <v>5993</v>
      </c>
    </row>
    <row r="161" spans="2:11" x14ac:dyDescent="0.2">
      <c r="F161" s="79" t="str">
        <f t="shared" si="14"/>
        <v/>
      </c>
    </row>
    <row r="162" spans="2:11" x14ac:dyDescent="0.2">
      <c r="B162" s="105"/>
      <c r="C162" s="88" t="s">
        <v>94</v>
      </c>
      <c r="F162" s="79" t="str">
        <f t="shared" si="14"/>
        <v/>
      </c>
      <c r="K162" s="79" t="str">
        <f>IF(B162=1,B162*0.03,"")</f>
        <v/>
      </c>
    </row>
    <row r="163" spans="2:11" x14ac:dyDescent="0.2">
      <c r="C163" s="88" t="s">
        <v>95</v>
      </c>
      <c r="F163" s="79" t="str">
        <f>IF(B163&gt;0,B163*D163,"")</f>
        <v/>
      </c>
      <c r="K163" s="136">
        <f>K160</f>
        <v>5993</v>
      </c>
    </row>
    <row r="164" spans="2:11" x14ac:dyDescent="0.2">
      <c r="C164" s="88" t="s">
        <v>96</v>
      </c>
      <c r="F164" s="79" t="str">
        <f>IF(B164&gt;0,B164*D164,"")</f>
        <v/>
      </c>
      <c r="K164" s="137"/>
    </row>
    <row r="165" spans="2:11" x14ac:dyDescent="0.2">
      <c r="K165" s="138"/>
    </row>
    <row r="166" spans="2:11" x14ac:dyDescent="0.2">
      <c r="K166" s="139"/>
    </row>
    <row r="169" spans="2:11" x14ac:dyDescent="0.2">
      <c r="C169" s="88" t="s">
        <v>97</v>
      </c>
      <c r="K169" s="140">
        <f>K163-K164-K165-K166</f>
        <v>5993</v>
      </c>
    </row>
  </sheetData>
  <sheetProtection algorithmName="SHA-512" hashValue="g+4VKu8nM95LqhF0Qlaiyuuw+FOnIGIUx4xs2zAshrEPgMzicKBAQHofj8vX/f7u9jn2tRPX0ei+A//egn2bOg==" saltValue="WdjssJxZkliu8CwJ+ZvsaQ==" spinCount="100000" sheet="1" selectLockedCells="1"/>
  <mergeCells count="2">
    <mergeCell ref="A124:A131"/>
    <mergeCell ref="A134:A135"/>
  </mergeCells>
  <phoneticPr fontId="0" type="noConversion"/>
  <printOptions horizontalCentered="1"/>
  <pageMargins left="0.25" right="0.25" top="0.5" bottom="0.5" header="0" footer="0"/>
  <pageSetup scale="74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FFC01-C7E3-4B33-AA65-292932971692}">
  <sheetPr>
    <pageSetUpPr fitToPage="1"/>
  </sheetPr>
  <dimension ref="A1:M161"/>
  <sheetViews>
    <sheetView workbookViewId="0">
      <selection activeCell="A2" sqref="A2"/>
    </sheetView>
  </sheetViews>
  <sheetFormatPr defaultColWidth="9" defaultRowHeight="12.75" x14ac:dyDescent="0.2"/>
  <cols>
    <col min="1" max="1" width="21.85546875" style="175" customWidth="1"/>
    <col min="2" max="2" width="3.140625" style="173" customWidth="1"/>
    <col min="3" max="3" width="58.42578125" style="186" bestFit="1" customWidth="1"/>
    <col min="4" max="4" width="5.42578125" style="175" hidden="1" customWidth="1"/>
    <col min="5" max="5" width="1.42578125" style="175" hidden="1" customWidth="1"/>
    <col min="6" max="6" width="2.5703125" style="175" hidden="1" customWidth="1"/>
    <col min="7" max="7" width="7.28515625" style="175" customWidth="1"/>
    <col min="8" max="8" width="8.140625" style="175" customWidth="1"/>
    <col min="9" max="9" width="9.28515625" style="176" bestFit="1" customWidth="1"/>
    <col min="10" max="10" width="9.42578125" style="177" bestFit="1" customWidth="1"/>
    <col min="11" max="11" width="10.28515625" style="177" bestFit="1" customWidth="1"/>
    <col min="12" max="12" width="10.28515625" style="175" bestFit="1" customWidth="1"/>
    <col min="13" max="16384" width="9" style="175"/>
  </cols>
  <sheetData>
    <row r="1" spans="1:12" ht="23.25" thickBot="1" x14ac:dyDescent="0.35">
      <c r="A1" s="172" t="s">
        <v>210</v>
      </c>
      <c r="C1" s="174" t="s">
        <v>33</v>
      </c>
    </row>
    <row r="2" spans="1:12" ht="13.5" thickBot="1" x14ac:dyDescent="0.25">
      <c r="A2" s="178">
        <v>1982</v>
      </c>
      <c r="C2" s="179" t="s">
        <v>34</v>
      </c>
    </row>
    <row r="3" spans="1:12" x14ac:dyDescent="0.2">
      <c r="A3" s="172" t="s">
        <v>48</v>
      </c>
      <c r="C3" s="180" t="s">
        <v>35</v>
      </c>
    </row>
    <row r="4" spans="1:12" x14ac:dyDescent="0.2">
      <c r="A4" s="181"/>
      <c r="C4" s="180" t="s">
        <v>13</v>
      </c>
    </row>
    <row r="5" spans="1:12" ht="13.5" thickBot="1" x14ac:dyDescent="0.25">
      <c r="A5" s="182" t="s">
        <v>49</v>
      </c>
      <c r="C5" s="180" t="s">
        <v>36</v>
      </c>
    </row>
    <row r="6" spans="1:12" ht="13.5" thickBot="1" x14ac:dyDescent="0.25">
      <c r="A6" s="182" t="s">
        <v>46</v>
      </c>
      <c r="C6" s="180" t="s">
        <v>37</v>
      </c>
    </row>
    <row r="7" spans="1:12" ht="16.5" thickBot="1" x14ac:dyDescent="0.3">
      <c r="A7" s="178" t="s">
        <v>47</v>
      </c>
      <c r="C7" s="183" t="s">
        <v>38</v>
      </c>
    </row>
    <row r="8" spans="1:12" ht="15.75" x14ac:dyDescent="0.25">
      <c r="C8" s="184" t="s">
        <v>39</v>
      </c>
    </row>
    <row r="9" spans="1:12" x14ac:dyDescent="0.2">
      <c r="A9" s="185" t="s">
        <v>211</v>
      </c>
      <c r="G9" s="241" t="s">
        <v>212</v>
      </c>
      <c r="H9" s="242"/>
      <c r="I9" s="241" t="s">
        <v>213</v>
      </c>
      <c r="J9" s="241"/>
    </row>
    <row r="10" spans="1:12" x14ac:dyDescent="0.2">
      <c r="G10" s="187">
        <v>915</v>
      </c>
      <c r="H10" s="187" t="s">
        <v>214</v>
      </c>
      <c r="I10" s="187">
        <v>915</v>
      </c>
      <c r="J10" s="187" t="s">
        <v>214</v>
      </c>
    </row>
    <row r="11" spans="1:12" x14ac:dyDescent="0.2">
      <c r="G11" s="187"/>
      <c r="H11" s="187"/>
      <c r="I11" s="187"/>
      <c r="J11" s="187"/>
    </row>
    <row r="12" spans="1:12" x14ac:dyDescent="0.2">
      <c r="A12" s="175" t="s">
        <v>0</v>
      </c>
      <c r="B12" s="188">
        <v>1</v>
      </c>
      <c r="C12" s="186" t="s">
        <v>101</v>
      </c>
      <c r="D12" s="175">
        <v>6</v>
      </c>
      <c r="E12" s="175">
        <f t="shared" ref="E12:E34" si="0">IF(B12&gt;0,B12*D12,"")</f>
        <v>6</v>
      </c>
      <c r="G12" s="177">
        <v>39</v>
      </c>
      <c r="H12" s="177">
        <f t="shared" ref="H12:J15" si="1">G12</f>
        <v>39</v>
      </c>
      <c r="I12" s="176">
        <f t="shared" si="1"/>
        <v>39</v>
      </c>
      <c r="J12" s="176">
        <f t="shared" si="1"/>
        <v>39</v>
      </c>
      <c r="K12" s="177">
        <f>IF(B12&gt;0,IF(G12&gt;0,B12*G12,B12*H12),"")</f>
        <v>39</v>
      </c>
      <c r="L12" s="189"/>
    </row>
    <row r="13" spans="1:12" x14ac:dyDescent="0.2">
      <c r="A13" s="175" t="s">
        <v>1</v>
      </c>
      <c r="B13" s="188"/>
      <c r="C13" s="186" t="s">
        <v>102</v>
      </c>
      <c r="D13" s="175">
        <v>25</v>
      </c>
      <c r="E13" s="175" t="str">
        <f t="shared" si="0"/>
        <v/>
      </c>
      <c r="G13" s="177">
        <v>79</v>
      </c>
      <c r="H13" s="177">
        <f t="shared" si="1"/>
        <v>79</v>
      </c>
      <c r="I13" s="176">
        <f t="shared" si="1"/>
        <v>79</v>
      </c>
      <c r="J13" s="176">
        <f t="shared" si="1"/>
        <v>79</v>
      </c>
      <c r="K13" s="177" t="str">
        <f>IF(B13&gt;0,IF(G13&gt;0,B13*G13,B13*H13),"")</f>
        <v/>
      </c>
    </row>
    <row r="14" spans="1:12" x14ac:dyDescent="0.2">
      <c r="A14" s="175" t="s">
        <v>5</v>
      </c>
      <c r="B14" s="188"/>
      <c r="C14" s="186" t="s">
        <v>76</v>
      </c>
      <c r="E14" s="175" t="str">
        <f t="shared" si="0"/>
        <v/>
      </c>
      <c r="G14" s="177">
        <v>50</v>
      </c>
      <c r="H14" s="177">
        <f t="shared" si="1"/>
        <v>50</v>
      </c>
      <c r="I14" s="176">
        <f t="shared" si="1"/>
        <v>50</v>
      </c>
      <c r="J14" s="176">
        <f t="shared" si="1"/>
        <v>50</v>
      </c>
      <c r="K14" s="177" t="str">
        <f>IF(B14&gt;0,IF(G14&gt;0,B14*G14,B14*H14),"")</f>
        <v/>
      </c>
    </row>
    <row r="15" spans="1:12" x14ac:dyDescent="0.2">
      <c r="A15" s="175" t="s">
        <v>6</v>
      </c>
      <c r="B15" s="188"/>
      <c r="C15" s="186" t="s">
        <v>77</v>
      </c>
      <c r="E15" s="175" t="str">
        <f t="shared" si="0"/>
        <v/>
      </c>
      <c r="F15" s="190"/>
      <c r="G15" s="177">
        <v>150</v>
      </c>
      <c r="H15" s="177">
        <f t="shared" si="1"/>
        <v>150</v>
      </c>
      <c r="I15" s="176">
        <f t="shared" si="1"/>
        <v>150</v>
      </c>
      <c r="J15" s="176">
        <f t="shared" si="1"/>
        <v>150</v>
      </c>
      <c r="K15" s="177" t="str">
        <f>IF(B15&gt;0,IF(G15&gt;0,B15*G15,B15*H15),"")</f>
        <v/>
      </c>
    </row>
    <row r="16" spans="1:12" x14ac:dyDescent="0.2">
      <c r="E16" s="175" t="str">
        <f t="shared" si="0"/>
        <v/>
      </c>
      <c r="F16" s="175">
        <f>SUM(E12:E15)</f>
        <v>6</v>
      </c>
      <c r="K16" s="177" t="str">
        <f>IF(B16&gt;0,IF(I16&gt;0,B16*I16,B16*J16),"")</f>
        <v/>
      </c>
    </row>
    <row r="17" spans="1:12" x14ac:dyDescent="0.2">
      <c r="A17" s="175" t="s">
        <v>3</v>
      </c>
      <c r="B17" s="188"/>
      <c r="C17" s="186" t="s">
        <v>14</v>
      </c>
      <c r="D17" s="175">
        <v>285</v>
      </c>
      <c r="E17" s="175" t="str">
        <f>IF(B17=1,D17,"")</f>
        <v/>
      </c>
      <c r="G17" s="177">
        <v>469</v>
      </c>
      <c r="I17" s="177">
        <f>G17</f>
        <v>469</v>
      </c>
      <c r="K17" s="177" t="str">
        <f>IF(B17&gt;0,IF(G17&gt;0,B17*G17,B17*I17),"")</f>
        <v/>
      </c>
    </row>
    <row r="18" spans="1:12" ht="25.5" x14ac:dyDescent="0.2">
      <c r="B18" s="188"/>
      <c r="C18" s="186" t="s">
        <v>215</v>
      </c>
      <c r="D18" s="175">
        <v>485</v>
      </c>
      <c r="E18" s="175" t="str">
        <f>IF(B18&gt;0,B18*D18,"")</f>
        <v/>
      </c>
      <c r="H18" s="176">
        <f>G17+200</f>
        <v>669</v>
      </c>
      <c r="J18" s="177">
        <f>H18</f>
        <v>669</v>
      </c>
      <c r="K18" s="177" t="str">
        <f>IF(B18&gt;0,IF(H18&gt;0,B18*H18,B18*J18),"")</f>
        <v/>
      </c>
    </row>
    <row r="19" spans="1:12" x14ac:dyDescent="0.2">
      <c r="B19" s="188"/>
      <c r="C19" s="186" t="s">
        <v>8</v>
      </c>
      <c r="D19" s="175">
        <v>9</v>
      </c>
      <c r="E19" s="175" t="str">
        <f t="shared" si="0"/>
        <v/>
      </c>
      <c r="G19" s="176">
        <v>28</v>
      </c>
      <c r="H19" s="176">
        <f>G19</f>
        <v>28</v>
      </c>
      <c r="I19" s="176">
        <f>H19</f>
        <v>28</v>
      </c>
      <c r="J19" s="176">
        <f>I19</f>
        <v>28</v>
      </c>
      <c r="K19" s="177" t="str">
        <f>IF(B19&gt;0,IF(G19&gt;0,B19*G19,B19*J19),"")</f>
        <v/>
      </c>
    </row>
    <row r="20" spans="1:12" x14ac:dyDescent="0.2">
      <c r="B20" s="188"/>
      <c r="C20" s="186" t="s">
        <v>12</v>
      </c>
      <c r="D20" s="175">
        <v>4</v>
      </c>
      <c r="E20" s="175" t="str">
        <f t="shared" si="0"/>
        <v/>
      </c>
      <c r="G20" s="176">
        <v>23</v>
      </c>
      <c r="H20" s="176">
        <f t="shared" ref="H20:J21" si="2">G20</f>
        <v>23</v>
      </c>
      <c r="I20" s="176">
        <f t="shared" si="2"/>
        <v>23</v>
      </c>
      <c r="J20" s="176">
        <f t="shared" si="2"/>
        <v>23</v>
      </c>
      <c r="K20" s="177" t="str">
        <f>IF(B20&gt;0,IF(G20&gt;0,B20*G20,B20*J20),"")</f>
        <v/>
      </c>
    </row>
    <row r="21" spans="1:12" x14ac:dyDescent="0.2">
      <c r="B21" s="188"/>
      <c r="C21" s="186" t="s">
        <v>9</v>
      </c>
      <c r="D21" s="175">
        <v>12</v>
      </c>
      <c r="E21" s="175" t="str">
        <f t="shared" si="0"/>
        <v/>
      </c>
      <c r="F21" s="190"/>
      <c r="G21" s="176">
        <v>22</v>
      </c>
      <c r="H21" s="176">
        <f t="shared" si="2"/>
        <v>22</v>
      </c>
      <c r="I21" s="176">
        <f t="shared" si="2"/>
        <v>22</v>
      </c>
      <c r="J21" s="176">
        <f t="shared" si="2"/>
        <v>22</v>
      </c>
      <c r="K21" s="177" t="str">
        <f>IF(B21&gt;0,IF(G21&gt;0,B21*G21,B21*J21),"")</f>
        <v/>
      </c>
    </row>
    <row r="22" spans="1:12" x14ac:dyDescent="0.2">
      <c r="E22" s="175" t="str">
        <f t="shared" si="0"/>
        <v/>
      </c>
      <c r="F22" s="175">
        <f>SUM(E17:E21)</f>
        <v>0</v>
      </c>
      <c r="K22" s="177" t="str">
        <f>IF(B22&gt;0,IF(I22&gt;0,B22*I22,B22*J22),"")</f>
        <v/>
      </c>
    </row>
    <row r="23" spans="1:12" x14ac:dyDescent="0.2">
      <c r="A23" s="175" t="s">
        <v>2</v>
      </c>
      <c r="B23" s="188"/>
      <c r="C23" s="186" t="s">
        <v>68</v>
      </c>
      <c r="D23" s="175">
        <v>160</v>
      </c>
      <c r="E23" s="175" t="str">
        <f t="shared" si="0"/>
        <v/>
      </c>
      <c r="G23" s="176">
        <v>349</v>
      </c>
      <c r="H23" s="191">
        <f>G23</f>
        <v>349</v>
      </c>
      <c r="K23" s="177" t="str">
        <f t="shared" ref="K23:K24" si="3">IF(B23&gt;0,IF(G23&gt;0,B23*G23,B23*J23),"")</f>
        <v/>
      </c>
    </row>
    <row r="24" spans="1:12" x14ac:dyDescent="0.2">
      <c r="B24" s="188"/>
      <c r="C24" s="186" t="s">
        <v>216</v>
      </c>
      <c r="I24" s="177">
        <v>398</v>
      </c>
      <c r="J24" s="177">
        <f>I24</f>
        <v>398</v>
      </c>
      <c r="K24" s="177" t="str">
        <f t="shared" si="3"/>
        <v/>
      </c>
    </row>
    <row r="25" spans="1:12" x14ac:dyDescent="0.2">
      <c r="B25" s="192"/>
      <c r="C25" s="186" t="s">
        <v>10</v>
      </c>
      <c r="E25" s="175" t="str">
        <f t="shared" si="0"/>
        <v/>
      </c>
      <c r="I25" s="176" t="s">
        <v>217</v>
      </c>
      <c r="J25" s="176" t="s">
        <v>217</v>
      </c>
    </row>
    <row r="26" spans="1:12" x14ac:dyDescent="0.2">
      <c r="E26" s="175" t="str">
        <f t="shared" si="0"/>
        <v/>
      </c>
      <c r="F26" s="175">
        <f>SUM(E23:E25)</f>
        <v>0</v>
      </c>
      <c r="K26" s="177" t="str">
        <f>IF(B26&gt;0,IF(I26&gt;0,B26*I26,B26*J26),"")</f>
        <v/>
      </c>
    </row>
    <row r="27" spans="1:12" x14ac:dyDescent="0.2">
      <c r="A27" s="175" t="s">
        <v>11</v>
      </c>
      <c r="B27" s="193"/>
      <c r="C27" s="186" t="s">
        <v>129</v>
      </c>
      <c r="D27" s="175">
        <v>10</v>
      </c>
      <c r="E27" s="175" t="str">
        <f>IF(B27&gt;0,B27*D27,"")</f>
        <v/>
      </c>
      <c r="G27" s="177">
        <v>27</v>
      </c>
      <c r="I27" s="177">
        <f>G27</f>
        <v>27</v>
      </c>
      <c r="K27" s="177" t="str">
        <f t="shared" ref="K27:K32" si="4">IF(B27&gt;0,IF(G27&gt;0,B27*G27,B27*J27),"")</f>
        <v/>
      </c>
    </row>
    <row r="28" spans="1:12" x14ac:dyDescent="0.2">
      <c r="B28" s="193"/>
      <c r="C28" s="186" t="s">
        <v>127</v>
      </c>
      <c r="D28" s="175">
        <v>11</v>
      </c>
      <c r="E28" s="175" t="str">
        <f>IF(B28&gt;0,B28*D28,"")</f>
        <v/>
      </c>
      <c r="H28" s="177">
        <v>28</v>
      </c>
      <c r="J28" s="177">
        <f>H28</f>
        <v>28</v>
      </c>
      <c r="K28" s="177" t="str">
        <f>IF(B28&gt;0,IF(H28&gt;0,B28*H28,B28*J28),"")</f>
        <v/>
      </c>
    </row>
    <row r="29" spans="1:12" x14ac:dyDescent="0.2">
      <c r="B29" s="193"/>
      <c r="C29" s="186" t="s">
        <v>4</v>
      </c>
      <c r="D29" s="175">
        <v>50</v>
      </c>
      <c r="E29" s="175" t="str">
        <f t="shared" si="0"/>
        <v/>
      </c>
      <c r="G29" s="177">
        <v>95</v>
      </c>
      <c r="H29" s="177">
        <f t="shared" ref="H29:J31" si="5">G29</f>
        <v>95</v>
      </c>
      <c r="I29" s="177">
        <f t="shared" si="5"/>
        <v>95</v>
      </c>
      <c r="J29" s="177">
        <f t="shared" si="5"/>
        <v>95</v>
      </c>
      <c r="K29" s="177" t="str">
        <f t="shared" si="4"/>
        <v/>
      </c>
      <c r="L29" s="189"/>
    </row>
    <row r="30" spans="1:12" x14ac:dyDescent="0.2">
      <c r="B30" s="193"/>
      <c r="C30" s="186" t="s">
        <v>110</v>
      </c>
      <c r="D30" s="175">
        <v>12</v>
      </c>
      <c r="E30" s="175" t="str">
        <f t="shared" si="0"/>
        <v/>
      </c>
      <c r="F30" s="190"/>
      <c r="G30" s="177">
        <v>95</v>
      </c>
      <c r="H30" s="177">
        <f t="shared" si="5"/>
        <v>95</v>
      </c>
      <c r="I30" s="177">
        <f t="shared" si="5"/>
        <v>95</v>
      </c>
      <c r="J30" s="177">
        <f t="shared" si="5"/>
        <v>95</v>
      </c>
      <c r="K30" s="177" t="str">
        <f t="shared" si="4"/>
        <v/>
      </c>
      <c r="L30" s="189"/>
    </row>
    <row r="31" spans="1:12" x14ac:dyDescent="0.2">
      <c r="B31" s="193"/>
      <c r="C31" s="186" t="s">
        <v>218</v>
      </c>
      <c r="G31" s="177">
        <v>65</v>
      </c>
      <c r="H31" s="177">
        <f>G31</f>
        <v>65</v>
      </c>
      <c r="I31" s="177">
        <f t="shared" si="5"/>
        <v>65</v>
      </c>
      <c r="J31" s="177">
        <f t="shared" si="5"/>
        <v>65</v>
      </c>
      <c r="K31" s="177" t="str">
        <f t="shared" si="4"/>
        <v/>
      </c>
      <c r="L31" s="189"/>
    </row>
    <row r="32" spans="1:12" x14ac:dyDescent="0.2">
      <c r="B32" s="194"/>
      <c r="G32" s="177"/>
      <c r="H32" s="177"/>
      <c r="I32" s="177"/>
      <c r="K32" s="177" t="str">
        <f t="shared" si="4"/>
        <v/>
      </c>
      <c r="L32" s="189"/>
    </row>
    <row r="33" spans="1:11" x14ac:dyDescent="0.2">
      <c r="A33" s="175" t="s">
        <v>7</v>
      </c>
      <c r="B33" s="193"/>
      <c r="C33" s="186" t="s">
        <v>70</v>
      </c>
      <c r="E33" s="175" t="str">
        <f t="shared" si="0"/>
        <v/>
      </c>
      <c r="F33" s="175">
        <f>SUM(E28:E30)</f>
        <v>0</v>
      </c>
      <c r="G33" s="177">
        <v>99</v>
      </c>
      <c r="I33" s="177">
        <f>G33</f>
        <v>99</v>
      </c>
      <c r="K33" s="177" t="str">
        <f>IF(B33&gt;0,IF(I33&gt;0,B33*I33,B33*J33),"")</f>
        <v/>
      </c>
    </row>
    <row r="34" spans="1:11" x14ac:dyDescent="0.2">
      <c r="B34" s="193"/>
      <c r="C34" s="186" t="s">
        <v>71</v>
      </c>
      <c r="D34" s="175">
        <v>15</v>
      </c>
      <c r="E34" s="175" t="str">
        <f t="shared" si="0"/>
        <v/>
      </c>
      <c r="H34" s="177">
        <v>105</v>
      </c>
      <c r="I34" s="175"/>
      <c r="J34" s="177">
        <f>H34</f>
        <v>105</v>
      </c>
      <c r="K34" s="177" t="str">
        <f t="shared" ref="K34:K35" si="6">IF(B34&gt;0,IF(I34&gt;0,B34*I34,B34*J34),"")</f>
        <v/>
      </c>
    </row>
    <row r="35" spans="1:11" x14ac:dyDescent="0.2">
      <c r="B35" s="193"/>
      <c r="C35" s="186" t="s">
        <v>78</v>
      </c>
      <c r="G35" s="177">
        <v>35</v>
      </c>
      <c r="H35" s="177">
        <f>G35</f>
        <v>35</v>
      </c>
      <c r="I35" s="177">
        <f>H35</f>
        <v>35</v>
      </c>
      <c r="J35" s="177">
        <f>I35</f>
        <v>35</v>
      </c>
      <c r="K35" s="177" t="str">
        <f t="shared" si="6"/>
        <v/>
      </c>
    </row>
    <row r="36" spans="1:11" x14ac:dyDescent="0.2">
      <c r="B36" s="175"/>
      <c r="F36" s="190"/>
      <c r="I36" s="175"/>
      <c r="J36" s="175"/>
    </row>
    <row r="37" spans="1:11" x14ac:dyDescent="0.2">
      <c r="A37" s="175" t="s">
        <v>219</v>
      </c>
      <c r="B37" s="193"/>
      <c r="C37" s="186" t="s">
        <v>72</v>
      </c>
      <c r="D37" s="175">
        <v>80</v>
      </c>
      <c r="E37" s="175" t="str">
        <f t="shared" ref="E37:E42" si="7">IF(B37&gt;0,B37*D37,"")</f>
        <v/>
      </c>
      <c r="G37" s="195">
        <v>125</v>
      </c>
      <c r="H37" s="191">
        <v>128</v>
      </c>
      <c r="I37" s="175"/>
      <c r="J37" s="191"/>
      <c r="K37" s="177" t="str">
        <f t="shared" ref="K37" si="8">IF(B37&gt;0,IF(G37&gt;0,B37*G37,B37*H37),"")</f>
        <v/>
      </c>
    </row>
    <row r="38" spans="1:11" x14ac:dyDescent="0.2">
      <c r="B38" s="193"/>
      <c r="C38" s="186" t="s">
        <v>104</v>
      </c>
      <c r="I38" s="195">
        <v>169</v>
      </c>
      <c r="J38" s="191">
        <f>I38</f>
        <v>169</v>
      </c>
      <c r="K38" s="177" t="str">
        <f>IF(B38&gt;0,IF(I38&gt;0,B38*I38,B38*J38),"")</f>
        <v/>
      </c>
    </row>
    <row r="39" spans="1:11" x14ac:dyDescent="0.2">
      <c r="B39" s="193"/>
      <c r="C39" s="186" t="s">
        <v>111</v>
      </c>
      <c r="D39" s="175">
        <v>13</v>
      </c>
      <c r="E39" s="175" t="str">
        <f t="shared" si="7"/>
        <v/>
      </c>
      <c r="G39" s="196">
        <v>29</v>
      </c>
      <c r="H39" s="196">
        <f t="shared" ref="H39:I41" si="9">G39</f>
        <v>29</v>
      </c>
      <c r="I39" s="196">
        <f t="shared" si="9"/>
        <v>29</v>
      </c>
      <c r="J39" s="196">
        <f>I39</f>
        <v>29</v>
      </c>
      <c r="K39" s="177" t="str">
        <f>IF(B39&gt;0,IF(G39&gt;0,B39*G39,B39*H39),"")</f>
        <v/>
      </c>
    </row>
    <row r="40" spans="1:11" x14ac:dyDescent="0.2">
      <c r="B40" s="193"/>
      <c r="C40" s="186" t="s">
        <v>75</v>
      </c>
      <c r="D40" s="175">
        <v>59</v>
      </c>
      <c r="E40" s="175" t="str">
        <f t="shared" si="7"/>
        <v/>
      </c>
      <c r="G40" s="196">
        <v>102</v>
      </c>
      <c r="H40" s="196">
        <f t="shared" si="9"/>
        <v>102</v>
      </c>
      <c r="I40" s="196">
        <f t="shared" si="9"/>
        <v>102</v>
      </c>
      <c r="J40" s="196">
        <f>I40</f>
        <v>102</v>
      </c>
      <c r="K40" s="177" t="str">
        <f>IF(B40&gt;0,IF(G40&gt;0,B40*G40,B40*H40),"")</f>
        <v/>
      </c>
    </row>
    <row r="41" spans="1:11" x14ac:dyDescent="0.2">
      <c r="B41" s="193"/>
      <c r="C41" s="186" t="s">
        <v>74</v>
      </c>
      <c r="D41" s="175">
        <v>79</v>
      </c>
      <c r="E41" s="175" t="str">
        <f t="shared" si="7"/>
        <v/>
      </c>
      <c r="G41" s="196">
        <v>135</v>
      </c>
      <c r="H41" s="196">
        <f t="shared" si="9"/>
        <v>135</v>
      </c>
      <c r="I41" s="196">
        <f t="shared" si="9"/>
        <v>135</v>
      </c>
      <c r="J41" s="196">
        <f>I41</f>
        <v>135</v>
      </c>
      <c r="K41" s="177" t="str">
        <f>IF(B41&gt;0,IF(G41&gt;0,B41*G41,B41*H41),"")</f>
        <v/>
      </c>
    </row>
    <row r="42" spans="1:11" ht="13.5" thickBot="1" x14ac:dyDescent="0.25">
      <c r="E42" s="175" t="str">
        <f t="shared" si="7"/>
        <v/>
      </c>
      <c r="F42" s="175">
        <f>SUM(E37:E41)</f>
        <v>0</v>
      </c>
      <c r="I42" s="197"/>
      <c r="J42" s="198"/>
      <c r="K42" s="198"/>
    </row>
    <row r="43" spans="1:11" ht="13.5" thickBot="1" x14ac:dyDescent="0.25">
      <c r="A43" s="199" t="s">
        <v>31</v>
      </c>
      <c r="B43" s="200"/>
      <c r="C43" s="201"/>
      <c r="D43" s="202">
        <f>SUM(D12:D41)-D18</f>
        <v>830</v>
      </c>
      <c r="F43" s="202">
        <f>SUM(F12:F42)</f>
        <v>6</v>
      </c>
      <c r="G43" s="203">
        <f>SUM(G12:G41)</f>
        <v>2016</v>
      </c>
      <c r="H43" s="203">
        <f>SUM(H12:H41)</f>
        <v>2226</v>
      </c>
      <c r="I43" s="203">
        <f>SUM(I12:I41)</f>
        <v>2109</v>
      </c>
      <c r="J43" s="203">
        <f>SUM(J12:J41)</f>
        <v>2316</v>
      </c>
      <c r="K43" s="203">
        <f>SUM(K12:K41)</f>
        <v>39</v>
      </c>
    </row>
    <row r="44" spans="1:11" x14ac:dyDescent="0.2">
      <c r="C44" s="175"/>
      <c r="E44" s="175" t="str">
        <f>IF(B44&gt;0,B44*D44,"")</f>
        <v/>
      </c>
    </row>
    <row r="45" spans="1:11" x14ac:dyDescent="0.2">
      <c r="E45" s="175" t="str">
        <f>IF(B45&gt;0,B45*D45,"")</f>
        <v/>
      </c>
    </row>
    <row r="46" spans="1:11" x14ac:dyDescent="0.2">
      <c r="A46" s="175" t="s">
        <v>23</v>
      </c>
      <c r="B46" s="193"/>
      <c r="C46" s="186" t="s">
        <v>112</v>
      </c>
      <c r="D46" s="175">
        <v>428</v>
      </c>
      <c r="E46" s="175" t="str">
        <f>IF(B46&gt;0,B46*D46,"")</f>
        <v/>
      </c>
      <c r="I46" s="176">
        <v>699</v>
      </c>
      <c r="J46" s="195">
        <f>I46</f>
        <v>699</v>
      </c>
      <c r="K46" s="177" t="str">
        <f t="shared" ref="K46:K59" si="10">IF(B46&gt;0,IF(I46&gt;0,B46*I46,B46*J46),"")</f>
        <v/>
      </c>
    </row>
    <row r="47" spans="1:11" x14ac:dyDescent="0.2">
      <c r="B47" s="193"/>
      <c r="C47" s="186" t="s">
        <v>92</v>
      </c>
      <c r="E47" s="175" t="str">
        <f t="shared" ref="E47:E124" si="11">IF(B47&gt;0,B47*D47,"")</f>
        <v/>
      </c>
      <c r="I47" s="176">
        <v>1695</v>
      </c>
      <c r="J47" s="195">
        <f>I47</f>
        <v>1695</v>
      </c>
      <c r="K47" s="177" t="str">
        <f t="shared" si="10"/>
        <v/>
      </c>
    </row>
    <row r="48" spans="1:11" x14ac:dyDescent="0.2">
      <c r="B48" s="193"/>
      <c r="C48" s="186" t="s">
        <v>116</v>
      </c>
      <c r="D48" s="175">
        <v>150</v>
      </c>
      <c r="E48" s="175" t="str">
        <f>IF(B48&gt;0,B48*D48,"")</f>
        <v/>
      </c>
      <c r="I48" s="176">
        <v>375</v>
      </c>
      <c r="J48" s="195" t="str">
        <f>IF(B48&gt;0,B48*I48,"")</f>
        <v/>
      </c>
      <c r="K48" s="177" t="str">
        <f t="shared" si="10"/>
        <v/>
      </c>
    </row>
    <row r="49" spans="1:13" x14ac:dyDescent="0.2">
      <c r="B49" s="193"/>
      <c r="C49" s="186" t="s">
        <v>119</v>
      </c>
      <c r="D49" s="175">
        <v>150</v>
      </c>
      <c r="F49" s="175" t="str">
        <f>IF(B49&gt;0,B49*D49,"")</f>
        <v/>
      </c>
      <c r="I49" s="175"/>
      <c r="J49" s="175">
        <v>475</v>
      </c>
      <c r="K49" s="177" t="str">
        <f t="shared" si="10"/>
        <v/>
      </c>
      <c r="L49" s="195"/>
    </row>
    <row r="50" spans="1:13" x14ac:dyDescent="0.2">
      <c r="B50" s="193"/>
      <c r="C50" s="186" t="s">
        <v>118</v>
      </c>
      <c r="D50" s="175">
        <v>150</v>
      </c>
      <c r="E50" s="175" t="str">
        <f t="shared" si="11"/>
        <v/>
      </c>
      <c r="J50" s="175">
        <v>475</v>
      </c>
      <c r="K50" s="177" t="str">
        <f t="shared" si="10"/>
        <v/>
      </c>
    </row>
    <row r="51" spans="1:13" x14ac:dyDescent="0.2">
      <c r="B51" s="193"/>
      <c r="C51" s="186" t="s">
        <v>123</v>
      </c>
      <c r="J51" s="175">
        <v>995</v>
      </c>
    </row>
    <row r="52" spans="1:13" x14ac:dyDescent="0.2">
      <c r="B52" s="193"/>
      <c r="C52" s="186" t="s">
        <v>220</v>
      </c>
      <c r="D52" s="175">
        <v>570</v>
      </c>
      <c r="E52" s="175" t="str">
        <f t="shared" si="11"/>
        <v/>
      </c>
      <c r="J52" s="175">
        <v>1495</v>
      </c>
      <c r="K52" s="177" t="str">
        <f t="shared" si="10"/>
        <v/>
      </c>
    </row>
    <row r="53" spans="1:13" x14ac:dyDescent="0.2">
      <c r="B53" s="193"/>
      <c r="C53" s="186" t="s">
        <v>117</v>
      </c>
      <c r="D53" s="175">
        <v>110</v>
      </c>
      <c r="E53" s="175" t="str">
        <f>IF(B53&gt;0,B53*D53,"")</f>
        <v/>
      </c>
      <c r="I53" s="176">
        <v>195</v>
      </c>
      <c r="J53" s="195" t="str">
        <f>IF(B53&gt;0,B53*I53,"")</f>
        <v/>
      </c>
      <c r="K53" s="177" t="str">
        <f t="shared" si="10"/>
        <v/>
      </c>
    </row>
    <row r="54" spans="1:13" x14ac:dyDescent="0.2">
      <c r="B54" s="193"/>
      <c r="C54" s="186" t="s">
        <v>27</v>
      </c>
      <c r="D54" s="175">
        <v>35</v>
      </c>
      <c r="E54" s="175" t="str">
        <f t="shared" si="11"/>
        <v/>
      </c>
      <c r="J54" s="176">
        <v>65</v>
      </c>
      <c r="K54" s="177" t="str">
        <f t="shared" si="10"/>
        <v/>
      </c>
    </row>
    <row r="55" spans="1:13" x14ac:dyDescent="0.2">
      <c r="B55" s="193"/>
      <c r="C55" s="186" t="s">
        <v>17</v>
      </c>
      <c r="E55" s="175" t="str">
        <f t="shared" si="11"/>
        <v/>
      </c>
      <c r="J55" s="176">
        <v>75</v>
      </c>
      <c r="K55" s="177" t="str">
        <f t="shared" si="10"/>
        <v/>
      </c>
    </row>
    <row r="56" spans="1:13" x14ac:dyDescent="0.2">
      <c r="B56" s="193"/>
      <c r="C56" s="186" t="s">
        <v>131</v>
      </c>
      <c r="J56" s="176">
        <v>39</v>
      </c>
      <c r="K56" s="177" t="str">
        <f t="shared" si="10"/>
        <v/>
      </c>
    </row>
    <row r="57" spans="1:13" x14ac:dyDescent="0.2">
      <c r="B57" s="193"/>
      <c r="C57" s="186" t="s">
        <v>115</v>
      </c>
      <c r="D57" s="175">
        <v>35</v>
      </c>
      <c r="E57" s="175" t="str">
        <f t="shared" si="11"/>
        <v/>
      </c>
      <c r="I57" s="176">
        <v>89</v>
      </c>
      <c r="J57" s="195">
        <f>I57</f>
        <v>89</v>
      </c>
      <c r="K57" s="177" t="str">
        <f t="shared" si="10"/>
        <v/>
      </c>
    </row>
    <row r="58" spans="1:13" x14ac:dyDescent="0.2">
      <c r="B58" s="193"/>
      <c r="C58" s="186" t="s">
        <v>117</v>
      </c>
      <c r="D58" s="175">
        <v>8</v>
      </c>
      <c r="E58" s="175" t="str">
        <f t="shared" si="11"/>
        <v/>
      </c>
      <c r="I58" s="176">
        <v>195</v>
      </c>
      <c r="J58" s="195">
        <f>I58</f>
        <v>195</v>
      </c>
      <c r="K58" s="177" t="str">
        <f t="shared" si="10"/>
        <v/>
      </c>
    </row>
    <row r="59" spans="1:13" x14ac:dyDescent="0.2">
      <c r="B59" s="193"/>
      <c r="C59" s="186" t="s">
        <v>113</v>
      </c>
      <c r="D59" s="175">
        <v>0</v>
      </c>
      <c r="E59" s="175" t="str">
        <f t="shared" si="11"/>
        <v/>
      </c>
      <c r="I59" s="204">
        <v>39</v>
      </c>
      <c r="J59" s="205">
        <f>I59</f>
        <v>39</v>
      </c>
      <c r="K59" s="177" t="str">
        <f t="shared" si="10"/>
        <v/>
      </c>
    </row>
    <row r="60" spans="1:13" x14ac:dyDescent="0.2">
      <c r="B60" s="175"/>
      <c r="C60" s="186" t="s">
        <v>221</v>
      </c>
      <c r="E60" s="175" t="str">
        <f t="shared" si="11"/>
        <v/>
      </c>
      <c r="F60" s="175">
        <f>SUM(E46:E59)</f>
        <v>0</v>
      </c>
      <c r="J60" s="195"/>
      <c r="K60" s="195">
        <f>SUM(K46:K59)</f>
        <v>0</v>
      </c>
    </row>
    <row r="61" spans="1:13" x14ac:dyDescent="0.2">
      <c r="I61" s="197"/>
      <c r="J61" s="198"/>
      <c r="K61" s="197"/>
      <c r="M61" s="191"/>
    </row>
    <row r="62" spans="1:13" x14ac:dyDescent="0.2">
      <c r="B62" s="175"/>
      <c r="E62" s="175" t="str">
        <f t="shared" si="11"/>
        <v/>
      </c>
      <c r="J62" s="195"/>
    </row>
    <row r="63" spans="1:13" x14ac:dyDescent="0.2">
      <c r="A63" s="175" t="s">
        <v>24</v>
      </c>
      <c r="B63" s="193"/>
      <c r="C63" s="186" t="s">
        <v>93</v>
      </c>
      <c r="D63" s="175">
        <v>140</v>
      </c>
      <c r="E63" s="175" t="str">
        <f t="shared" si="11"/>
        <v/>
      </c>
      <c r="I63" s="176">
        <v>299</v>
      </c>
      <c r="J63" s="195">
        <f>I63</f>
        <v>299</v>
      </c>
      <c r="K63" s="195" t="str">
        <f t="shared" ref="K63:K84" si="12">IF(B63&gt;0,IF(I63&gt;0,B63*I63,B63*J63),"")</f>
        <v/>
      </c>
    </row>
    <row r="64" spans="1:13" ht="12" customHeight="1" x14ac:dyDescent="0.2">
      <c r="A64" s="185"/>
      <c r="B64" s="193"/>
      <c r="C64" s="186" t="s">
        <v>134</v>
      </c>
      <c r="H64" s="175">
        <v>195</v>
      </c>
      <c r="I64" s="206" t="str">
        <f t="shared" ref="I64" si="13">IF(B64&gt;0,B64*H64,"")</f>
        <v/>
      </c>
      <c r="J64" s="206"/>
      <c r="K64" s="195" t="str">
        <f t="shared" si="12"/>
        <v/>
      </c>
    </row>
    <row r="65" spans="1:11" x14ac:dyDescent="0.2">
      <c r="B65" s="193"/>
      <c r="C65" s="186" t="s">
        <v>120</v>
      </c>
      <c r="I65" s="176">
        <v>85</v>
      </c>
      <c r="J65" s="195">
        <f t="shared" ref="J65:J79" si="14">I65</f>
        <v>85</v>
      </c>
      <c r="K65" s="195" t="str">
        <f t="shared" si="12"/>
        <v/>
      </c>
    </row>
    <row r="66" spans="1:11" x14ac:dyDescent="0.2">
      <c r="B66" s="193"/>
      <c r="C66" s="186" t="s">
        <v>135</v>
      </c>
      <c r="H66" s="186">
        <v>85</v>
      </c>
      <c r="I66" s="206" t="str">
        <f t="shared" ref="I66" si="15">IF(B66&gt;0,B66*H66,"")</f>
        <v/>
      </c>
      <c r="J66" s="206"/>
      <c r="K66" s="195" t="str">
        <f t="shared" si="12"/>
        <v/>
      </c>
    </row>
    <row r="67" spans="1:11" x14ac:dyDescent="0.2">
      <c r="B67" s="193"/>
      <c r="C67" s="186" t="s">
        <v>15</v>
      </c>
      <c r="D67" s="207"/>
      <c r="E67" s="207"/>
      <c r="F67" s="207"/>
      <c r="I67" s="176">
        <v>139</v>
      </c>
      <c r="J67" s="195">
        <f t="shared" si="14"/>
        <v>139</v>
      </c>
      <c r="K67" s="195" t="str">
        <f t="shared" si="12"/>
        <v/>
      </c>
    </row>
    <row r="68" spans="1:11" x14ac:dyDescent="0.2">
      <c r="B68" s="193"/>
      <c r="C68" s="186" t="s">
        <v>133</v>
      </c>
      <c r="D68" s="207"/>
      <c r="E68" s="207"/>
      <c r="F68" s="207"/>
      <c r="J68" s="195">
        <v>95</v>
      </c>
      <c r="K68" s="195" t="str">
        <f t="shared" si="12"/>
        <v/>
      </c>
    </row>
    <row r="69" spans="1:11" x14ac:dyDescent="0.2">
      <c r="B69" s="193"/>
      <c r="C69" s="186" t="str">
        <f>'993'!C90</f>
        <v>993 VRam vacuum line set with check valve</v>
      </c>
      <c r="D69" s="207"/>
      <c r="E69" s="207"/>
      <c r="F69" s="207"/>
      <c r="I69" s="176">
        <f>'993'!H90</f>
        <v>65</v>
      </c>
      <c r="J69" s="195">
        <f>I69</f>
        <v>65</v>
      </c>
      <c r="K69" s="195" t="str">
        <f t="shared" si="12"/>
        <v/>
      </c>
    </row>
    <row r="70" spans="1:11" x14ac:dyDescent="0.2">
      <c r="B70" s="193"/>
      <c r="C70" s="186" t="s">
        <v>18</v>
      </c>
      <c r="D70" s="175">
        <v>85</v>
      </c>
      <c r="E70" s="175" t="str">
        <f t="shared" si="11"/>
        <v/>
      </c>
      <c r="I70" s="176">
        <v>199</v>
      </c>
      <c r="J70" s="195">
        <f t="shared" si="14"/>
        <v>199</v>
      </c>
      <c r="K70" s="195" t="str">
        <f t="shared" si="12"/>
        <v/>
      </c>
    </row>
    <row r="71" spans="1:11" x14ac:dyDescent="0.2">
      <c r="B71" s="193"/>
      <c r="C71" s="186" t="s">
        <v>16</v>
      </c>
      <c r="I71" s="176">
        <v>55</v>
      </c>
      <c r="J71" s="195">
        <f t="shared" si="14"/>
        <v>55</v>
      </c>
      <c r="K71" s="195" t="str">
        <f t="shared" si="12"/>
        <v/>
      </c>
    </row>
    <row r="72" spans="1:11" ht="38.25" x14ac:dyDescent="0.2">
      <c r="B72" s="193"/>
      <c r="C72" s="186" t="s">
        <v>79</v>
      </c>
      <c r="D72" s="175">
        <v>125</v>
      </c>
      <c r="E72" s="175" t="str">
        <f t="shared" si="11"/>
        <v/>
      </c>
      <c r="I72" s="176">
        <v>249</v>
      </c>
      <c r="J72" s="195">
        <f t="shared" si="14"/>
        <v>249</v>
      </c>
      <c r="K72" s="195" t="str">
        <f t="shared" si="12"/>
        <v/>
      </c>
    </row>
    <row r="73" spans="1:11" x14ac:dyDescent="0.2">
      <c r="B73" s="193"/>
      <c r="C73" s="186" t="s">
        <v>80</v>
      </c>
      <c r="E73" s="175" t="str">
        <f t="shared" si="11"/>
        <v/>
      </c>
      <c r="I73" s="176">
        <v>145</v>
      </c>
      <c r="J73" s="195">
        <f t="shared" si="14"/>
        <v>145</v>
      </c>
      <c r="K73" s="195" t="str">
        <f t="shared" si="12"/>
        <v/>
      </c>
    </row>
    <row r="74" spans="1:11" x14ac:dyDescent="0.2">
      <c r="B74" s="193"/>
      <c r="C74" s="186" t="s">
        <v>130</v>
      </c>
      <c r="E74" s="175" t="str">
        <f t="shared" si="11"/>
        <v/>
      </c>
      <c r="I74" s="176">
        <v>160</v>
      </c>
      <c r="J74" s="195">
        <f t="shared" si="14"/>
        <v>160</v>
      </c>
      <c r="K74" s="195" t="str">
        <f t="shared" si="12"/>
        <v/>
      </c>
    </row>
    <row r="75" spans="1:11" x14ac:dyDescent="0.2">
      <c r="B75" s="193"/>
      <c r="C75" s="186" t="s">
        <v>83</v>
      </c>
      <c r="D75" s="175">
        <v>65</v>
      </c>
      <c r="E75" s="175" t="str">
        <f>IF(B75&gt;0,B75*D75,"")</f>
        <v/>
      </c>
      <c r="I75" s="176">
        <v>127</v>
      </c>
      <c r="J75" s="195"/>
      <c r="K75" s="195" t="str">
        <f t="shared" si="12"/>
        <v/>
      </c>
    </row>
    <row r="76" spans="1:11" x14ac:dyDescent="0.2">
      <c r="B76" s="193"/>
      <c r="C76" s="186" t="s">
        <v>89</v>
      </c>
      <c r="J76" s="195">
        <v>125</v>
      </c>
      <c r="K76" s="195" t="str">
        <f t="shared" si="12"/>
        <v/>
      </c>
    </row>
    <row r="77" spans="1:11" x14ac:dyDescent="0.2">
      <c r="B77" s="193"/>
      <c r="C77" s="186" t="s">
        <v>42</v>
      </c>
      <c r="D77" s="175">
        <v>82</v>
      </c>
      <c r="E77" s="175" t="str">
        <f>IF(B77&gt;0,B77*D77,"")</f>
        <v/>
      </c>
      <c r="I77" s="176">
        <v>28</v>
      </c>
      <c r="J77" s="195">
        <f t="shared" si="14"/>
        <v>28</v>
      </c>
      <c r="K77" s="195" t="str">
        <f t="shared" si="12"/>
        <v/>
      </c>
    </row>
    <row r="78" spans="1:11" x14ac:dyDescent="0.2">
      <c r="B78" s="193"/>
      <c r="C78" s="186" t="s">
        <v>81</v>
      </c>
      <c r="I78" s="176">
        <v>14</v>
      </c>
      <c r="J78" s="195">
        <f t="shared" si="14"/>
        <v>14</v>
      </c>
      <c r="K78" s="195" t="str">
        <f t="shared" si="12"/>
        <v/>
      </c>
    </row>
    <row r="79" spans="1:11" x14ac:dyDescent="0.2">
      <c r="B79" s="193"/>
      <c r="C79" s="186" t="s">
        <v>82</v>
      </c>
      <c r="I79" s="176">
        <v>29</v>
      </c>
      <c r="J79" s="195">
        <f t="shared" si="14"/>
        <v>29</v>
      </c>
      <c r="K79" s="195" t="str">
        <f t="shared" si="12"/>
        <v/>
      </c>
    </row>
    <row r="80" spans="1:11" x14ac:dyDescent="0.2">
      <c r="A80" s="175" t="s">
        <v>41</v>
      </c>
      <c r="B80" s="193"/>
      <c r="C80" s="208"/>
      <c r="D80" s="193"/>
      <c r="E80" s="175" t="str">
        <f t="shared" si="11"/>
        <v/>
      </c>
      <c r="F80" s="193"/>
      <c r="G80" s="193"/>
      <c r="H80" s="193"/>
      <c r="I80" s="209"/>
      <c r="J80" s="209"/>
      <c r="K80" s="195" t="str">
        <f t="shared" si="12"/>
        <v/>
      </c>
    </row>
    <row r="81" spans="1:12" x14ac:dyDescent="0.2">
      <c r="B81" s="193"/>
      <c r="C81" s="208"/>
      <c r="D81" s="193"/>
      <c r="E81" s="175" t="str">
        <f t="shared" si="11"/>
        <v/>
      </c>
      <c r="F81" s="193"/>
      <c r="G81" s="193"/>
      <c r="H81" s="193"/>
      <c r="I81" s="209"/>
      <c r="J81" s="209"/>
      <c r="K81" s="195" t="str">
        <f t="shared" si="12"/>
        <v/>
      </c>
    </row>
    <row r="82" spans="1:12" x14ac:dyDescent="0.2">
      <c r="B82" s="193"/>
      <c r="C82" s="208"/>
      <c r="D82" s="193"/>
      <c r="E82" s="175" t="str">
        <f t="shared" si="11"/>
        <v/>
      </c>
      <c r="F82" s="193"/>
      <c r="G82" s="193"/>
      <c r="H82" s="193"/>
      <c r="I82" s="209"/>
      <c r="J82" s="209"/>
      <c r="K82" s="195" t="str">
        <f t="shared" si="12"/>
        <v/>
      </c>
    </row>
    <row r="83" spans="1:12" x14ac:dyDescent="0.2">
      <c r="B83" s="193"/>
      <c r="C83" s="208"/>
      <c r="D83" s="193"/>
      <c r="E83" s="175" t="str">
        <f t="shared" si="11"/>
        <v/>
      </c>
      <c r="F83" s="193"/>
      <c r="G83" s="193"/>
      <c r="H83" s="193"/>
      <c r="I83" s="209"/>
      <c r="J83" s="209"/>
      <c r="K83" s="195" t="str">
        <f t="shared" si="12"/>
        <v/>
      </c>
    </row>
    <row r="84" spans="1:12" ht="13.5" thickBot="1" x14ac:dyDescent="0.25">
      <c r="B84" s="193"/>
      <c r="C84" s="208"/>
      <c r="D84" s="193"/>
      <c r="E84" s="175" t="str">
        <f t="shared" si="11"/>
        <v/>
      </c>
      <c r="F84" s="193"/>
      <c r="G84" s="193"/>
      <c r="H84" s="193"/>
      <c r="I84" s="209"/>
      <c r="J84" s="209"/>
      <c r="K84" s="205" t="str">
        <f t="shared" si="12"/>
        <v/>
      </c>
    </row>
    <row r="85" spans="1:12" ht="13.5" thickBot="1" x14ac:dyDescent="0.25">
      <c r="C85" s="186" t="s">
        <v>222</v>
      </c>
      <c r="E85" s="175" t="str">
        <f t="shared" si="11"/>
        <v/>
      </c>
      <c r="F85" s="202">
        <f>SUM(E63:E84)</f>
        <v>0</v>
      </c>
      <c r="I85" s="197"/>
      <c r="J85" s="210"/>
      <c r="K85" s="177">
        <f>SUM(K63:K84)</f>
        <v>0</v>
      </c>
    </row>
    <row r="86" spans="1:12" ht="13.5" thickBot="1" x14ac:dyDescent="0.25">
      <c r="A86" s="211" t="s">
        <v>28</v>
      </c>
      <c r="B86" s="200"/>
      <c r="C86" s="201"/>
      <c r="D86" s="202"/>
      <c r="E86" s="175" t="str">
        <f t="shared" si="11"/>
        <v/>
      </c>
      <c r="G86" s="203"/>
      <c r="H86" s="203"/>
      <c r="I86" s="203"/>
      <c r="J86" s="212"/>
      <c r="K86" s="212"/>
      <c r="L86" s="213">
        <f>K85+K60+K43</f>
        <v>39</v>
      </c>
    </row>
    <row r="87" spans="1:12" x14ac:dyDescent="0.2">
      <c r="E87" s="175" t="str">
        <f t="shared" si="11"/>
        <v/>
      </c>
    </row>
    <row r="88" spans="1:12" x14ac:dyDescent="0.2">
      <c r="A88" s="175" t="s">
        <v>26</v>
      </c>
      <c r="B88" s="175"/>
      <c r="C88" s="175"/>
      <c r="I88" s="175"/>
      <c r="J88" s="175"/>
      <c r="K88" s="175"/>
    </row>
    <row r="89" spans="1:12" x14ac:dyDescent="0.2">
      <c r="B89" s="193"/>
      <c r="C89" s="186" t="s">
        <v>59</v>
      </c>
      <c r="I89" s="176">
        <v>1795</v>
      </c>
      <c r="J89" s="195">
        <f>I89</f>
        <v>1795</v>
      </c>
      <c r="K89" s="195" t="str">
        <f t="shared" ref="K89:K104" si="16">IF(B89&gt;0,IF(I89&gt;0,B89*I89,B89*J89),"")</f>
        <v/>
      </c>
    </row>
    <row r="90" spans="1:12" x14ac:dyDescent="0.2">
      <c r="B90" s="193"/>
      <c r="C90" s="186" t="s">
        <v>223</v>
      </c>
      <c r="I90" s="176">
        <v>495</v>
      </c>
      <c r="J90" s="195">
        <f t="shared" ref="J90:J103" si="17">I90</f>
        <v>495</v>
      </c>
      <c r="K90" s="195" t="str">
        <f t="shared" si="16"/>
        <v/>
      </c>
    </row>
    <row r="91" spans="1:12" x14ac:dyDescent="0.2">
      <c r="B91" s="193"/>
      <c r="C91" s="186" t="s">
        <v>224</v>
      </c>
      <c r="I91" s="176">
        <v>595</v>
      </c>
      <c r="J91" s="195">
        <f t="shared" si="17"/>
        <v>595</v>
      </c>
      <c r="K91" s="195" t="str">
        <f t="shared" si="16"/>
        <v/>
      </c>
    </row>
    <row r="92" spans="1:12" x14ac:dyDescent="0.2">
      <c r="B92" s="193"/>
      <c r="C92" s="186" t="s">
        <v>225</v>
      </c>
      <c r="I92" s="176">
        <v>625</v>
      </c>
      <c r="J92" s="195">
        <f t="shared" si="17"/>
        <v>625</v>
      </c>
      <c r="K92" s="195" t="str">
        <f t="shared" si="16"/>
        <v/>
      </c>
    </row>
    <row r="93" spans="1:12" x14ac:dyDescent="0.2">
      <c r="B93" s="193"/>
      <c r="C93" s="186" t="s">
        <v>58</v>
      </c>
      <c r="D93" s="175">
        <v>1650</v>
      </c>
      <c r="E93" s="175" t="str">
        <f t="shared" si="11"/>
        <v/>
      </c>
      <c r="I93" s="176">
        <v>2995</v>
      </c>
      <c r="J93" s="195">
        <f t="shared" si="17"/>
        <v>2995</v>
      </c>
      <c r="K93" s="195" t="str">
        <f t="shared" si="16"/>
        <v/>
      </c>
    </row>
    <row r="94" spans="1:12" x14ac:dyDescent="0.2">
      <c r="B94" s="193"/>
      <c r="C94" s="186" t="s">
        <v>226</v>
      </c>
      <c r="I94" s="176">
        <v>195</v>
      </c>
      <c r="J94" s="195">
        <f t="shared" si="17"/>
        <v>195</v>
      </c>
      <c r="K94" s="195" t="str">
        <f t="shared" si="16"/>
        <v/>
      </c>
    </row>
    <row r="95" spans="1:12" x14ac:dyDescent="0.2">
      <c r="B95" s="193"/>
      <c r="C95" s="186" t="s">
        <v>61</v>
      </c>
      <c r="D95" s="175">
        <v>73</v>
      </c>
      <c r="E95" s="175" t="str">
        <f>IF(B95&gt;0,B95*D95,"")</f>
        <v/>
      </c>
      <c r="I95" s="176">
        <v>195</v>
      </c>
      <c r="J95" s="195">
        <f t="shared" si="17"/>
        <v>195</v>
      </c>
      <c r="K95" s="195" t="str">
        <f t="shared" si="16"/>
        <v/>
      </c>
    </row>
    <row r="96" spans="1:12" x14ac:dyDescent="0.2">
      <c r="B96" s="193"/>
      <c r="C96" s="186" t="s">
        <v>62</v>
      </c>
      <c r="I96" s="176" t="s">
        <v>125</v>
      </c>
      <c r="J96" s="195" t="str">
        <f t="shared" si="17"/>
        <v>included</v>
      </c>
      <c r="K96" s="195" t="str">
        <f t="shared" si="16"/>
        <v/>
      </c>
    </row>
    <row r="97" spans="1:12" x14ac:dyDescent="0.2">
      <c r="B97" s="193"/>
      <c r="C97" s="186" t="s">
        <v>63</v>
      </c>
      <c r="I97" s="176">
        <v>395</v>
      </c>
      <c r="J97" s="195">
        <f t="shared" si="17"/>
        <v>395</v>
      </c>
      <c r="K97" s="195" t="str">
        <f t="shared" si="16"/>
        <v/>
      </c>
    </row>
    <row r="98" spans="1:12" x14ac:dyDescent="0.2">
      <c r="B98" s="193"/>
      <c r="C98" s="186" t="s">
        <v>64</v>
      </c>
      <c r="I98" s="176">
        <v>495</v>
      </c>
      <c r="J98" s="195">
        <f t="shared" si="17"/>
        <v>495</v>
      </c>
      <c r="K98" s="195" t="str">
        <f t="shared" si="16"/>
        <v/>
      </c>
    </row>
    <row r="99" spans="1:12" ht="25.5" x14ac:dyDescent="0.2">
      <c r="B99" s="193"/>
      <c r="C99" s="186" t="s">
        <v>85</v>
      </c>
      <c r="I99" s="176">
        <v>1795</v>
      </c>
      <c r="J99" s="195">
        <v>1595</v>
      </c>
      <c r="K99" s="195" t="str">
        <f t="shared" si="16"/>
        <v/>
      </c>
    </row>
    <row r="100" spans="1:12" x14ac:dyDescent="0.2">
      <c r="B100" s="193"/>
      <c r="C100" s="186" t="s">
        <v>122</v>
      </c>
      <c r="I100" s="176">
        <v>125</v>
      </c>
      <c r="J100" s="195">
        <f t="shared" si="17"/>
        <v>125</v>
      </c>
      <c r="K100" s="195" t="str">
        <f t="shared" si="16"/>
        <v/>
      </c>
    </row>
    <row r="101" spans="1:12" x14ac:dyDescent="0.2">
      <c r="B101" s="193"/>
      <c r="C101" s="186" t="s">
        <v>84</v>
      </c>
      <c r="I101" s="176">
        <v>139</v>
      </c>
      <c r="J101" s="195">
        <f t="shared" si="17"/>
        <v>139</v>
      </c>
      <c r="K101" s="195" t="str">
        <f t="shared" si="16"/>
        <v/>
      </c>
    </row>
    <row r="102" spans="1:12" ht="15" customHeight="1" x14ac:dyDescent="0.2">
      <c r="B102" s="193"/>
      <c r="C102" s="186" t="s">
        <v>60</v>
      </c>
      <c r="I102" s="176">
        <v>1195</v>
      </c>
      <c r="J102" s="195">
        <f t="shared" si="17"/>
        <v>1195</v>
      </c>
      <c r="K102" s="195" t="str">
        <f t="shared" si="16"/>
        <v/>
      </c>
    </row>
    <row r="103" spans="1:12" x14ac:dyDescent="0.2">
      <c r="B103" s="193"/>
      <c r="C103" s="186" t="s">
        <v>86</v>
      </c>
      <c r="I103" s="176">
        <v>199</v>
      </c>
      <c r="J103" s="195">
        <f t="shared" si="17"/>
        <v>199</v>
      </c>
      <c r="K103" s="195" t="str">
        <f t="shared" si="16"/>
        <v/>
      </c>
    </row>
    <row r="104" spans="1:12" x14ac:dyDescent="0.2">
      <c r="B104" s="193"/>
      <c r="C104" s="186" t="s">
        <v>227</v>
      </c>
      <c r="I104" s="176">
        <v>1995</v>
      </c>
      <c r="J104" s="195">
        <f>I104</f>
        <v>1995</v>
      </c>
      <c r="K104" s="195" t="str">
        <f t="shared" si="16"/>
        <v/>
      </c>
    </row>
    <row r="105" spans="1:12" ht="13.5" thickBot="1" x14ac:dyDescent="0.25">
      <c r="E105" s="175" t="str">
        <f t="shared" si="11"/>
        <v/>
      </c>
      <c r="I105" s="197"/>
      <c r="J105" s="210"/>
      <c r="K105" s="210"/>
    </row>
    <row r="106" spans="1:12" ht="13.5" thickBot="1" x14ac:dyDescent="0.25">
      <c r="A106" s="211" t="s">
        <v>30</v>
      </c>
      <c r="B106" s="202"/>
      <c r="C106" s="202"/>
      <c r="D106" s="202"/>
      <c r="E106" s="175" t="str">
        <f t="shared" si="11"/>
        <v/>
      </c>
      <c r="F106" s="202">
        <f>SUM(E88:E99)</f>
        <v>0</v>
      </c>
      <c r="G106" s="202"/>
      <c r="H106" s="202"/>
      <c r="I106" s="203"/>
      <c r="J106" s="203"/>
      <c r="K106" s="212"/>
      <c r="L106" s="214">
        <f>SUM(K88:K103)</f>
        <v>0</v>
      </c>
    </row>
    <row r="107" spans="1:12" x14ac:dyDescent="0.2">
      <c r="A107" s="185" t="s">
        <v>50</v>
      </c>
      <c r="B107" s="175"/>
      <c r="C107" s="175"/>
      <c r="E107" s="175" t="str">
        <f t="shared" si="11"/>
        <v/>
      </c>
      <c r="I107" s="197"/>
      <c r="J107" s="197"/>
      <c r="K107" s="198"/>
      <c r="L107" s="198"/>
    </row>
    <row r="108" spans="1:12" ht="25.5" x14ac:dyDescent="0.2">
      <c r="A108" s="239" t="s">
        <v>155</v>
      </c>
      <c r="B108" s="35"/>
      <c r="C108" s="33" t="s">
        <v>156</v>
      </c>
      <c r="D108" s="2"/>
      <c r="E108" s="2"/>
      <c r="F108" t="s">
        <v>124</v>
      </c>
      <c r="G108" s="2"/>
      <c r="I108" s="152">
        <v>895</v>
      </c>
      <c r="J108" s="197">
        <f>I108</f>
        <v>895</v>
      </c>
      <c r="K108" s="195" t="str">
        <f t="shared" ref="K108:K119" si="18">IF(B108&gt;0,IF(I108&gt;0,B108*I108,B108*J108),"")</f>
        <v/>
      </c>
      <c r="L108" s="198"/>
    </row>
    <row r="109" spans="1:12" ht="25.5" x14ac:dyDescent="0.2">
      <c r="A109" s="239"/>
      <c r="B109" s="35"/>
      <c r="C109" s="29" t="s">
        <v>233</v>
      </c>
      <c r="D109" s="2"/>
      <c r="E109" s="2"/>
      <c r="F109"/>
      <c r="G109" s="2"/>
      <c r="I109" s="159">
        <v>995</v>
      </c>
      <c r="J109" s="197">
        <f t="shared" ref="J109:J119" si="19">I109</f>
        <v>995</v>
      </c>
      <c r="K109" s="195" t="str">
        <f t="shared" si="18"/>
        <v/>
      </c>
      <c r="L109" s="198"/>
    </row>
    <row r="110" spans="1:12" ht="25.5" x14ac:dyDescent="0.2">
      <c r="A110" s="239"/>
      <c r="B110" s="35"/>
      <c r="C110" s="29" t="s">
        <v>234</v>
      </c>
      <c r="D110" s="2"/>
      <c r="E110" s="2"/>
      <c r="F110"/>
      <c r="G110" s="2"/>
      <c r="I110" s="159">
        <v>1395</v>
      </c>
      <c r="J110" s="197">
        <f t="shared" si="19"/>
        <v>1395</v>
      </c>
      <c r="K110" s="195" t="str">
        <f t="shared" si="18"/>
        <v/>
      </c>
      <c r="L110" s="198"/>
    </row>
    <row r="111" spans="1:12" x14ac:dyDescent="0.2">
      <c r="A111" s="239"/>
      <c r="B111" s="35"/>
      <c r="C111" s="13" t="s">
        <v>184</v>
      </c>
      <c r="D111" s="2"/>
      <c r="E111" s="2"/>
      <c r="F111"/>
      <c r="G111" s="2"/>
      <c r="I111" s="152">
        <v>995</v>
      </c>
      <c r="J111" s="197">
        <f t="shared" si="19"/>
        <v>995</v>
      </c>
      <c r="K111" s="195" t="str">
        <f t="shared" si="18"/>
        <v/>
      </c>
      <c r="L111" s="198"/>
    </row>
    <row r="112" spans="1:12" ht="25.5" x14ac:dyDescent="0.2">
      <c r="A112" s="239"/>
      <c r="B112" s="35"/>
      <c r="C112" s="13" t="s">
        <v>185</v>
      </c>
      <c r="D112" s="2"/>
      <c r="E112" s="2"/>
      <c r="F112" t="s">
        <v>124</v>
      </c>
      <c r="G112" s="2"/>
      <c r="I112" s="152">
        <v>995</v>
      </c>
      <c r="J112" s="197">
        <f t="shared" si="19"/>
        <v>995</v>
      </c>
      <c r="K112" s="195" t="str">
        <f t="shared" si="18"/>
        <v/>
      </c>
      <c r="L112" s="198"/>
    </row>
    <row r="113" spans="1:12" x14ac:dyDescent="0.2">
      <c r="A113" s="239"/>
      <c r="B113" s="35"/>
      <c r="C113" s="29" t="s">
        <v>154</v>
      </c>
      <c r="D113" s="2"/>
      <c r="E113" s="2"/>
      <c r="F113" t="s">
        <v>124</v>
      </c>
      <c r="G113" s="2"/>
      <c r="I113" s="152">
        <v>1495</v>
      </c>
      <c r="J113" s="197">
        <f t="shared" si="19"/>
        <v>1495</v>
      </c>
      <c r="K113" s="195" t="str">
        <f t="shared" si="18"/>
        <v/>
      </c>
      <c r="L113" s="198"/>
    </row>
    <row r="114" spans="1:12" ht="27.75" customHeight="1" x14ac:dyDescent="0.2">
      <c r="A114" s="239"/>
      <c r="B114" s="35"/>
      <c r="C114" s="59" t="s">
        <v>138</v>
      </c>
      <c r="D114" s="2"/>
      <c r="E114" s="2"/>
      <c r="F114"/>
      <c r="G114" s="2"/>
      <c r="I114" s="152">
        <v>1295</v>
      </c>
      <c r="J114" s="197">
        <f t="shared" si="19"/>
        <v>1295</v>
      </c>
      <c r="K114" s="195" t="str">
        <f t="shared" si="18"/>
        <v/>
      </c>
      <c r="L114" s="198"/>
    </row>
    <row r="115" spans="1:12" ht="25.5" x14ac:dyDescent="0.2">
      <c r="A115" s="239"/>
      <c r="B115" s="35"/>
      <c r="C115" s="220" t="s">
        <v>232</v>
      </c>
      <c r="D115" s="2"/>
      <c r="E115" s="2"/>
      <c r="F115"/>
      <c r="G115" s="2"/>
      <c r="I115" s="159">
        <v>1595</v>
      </c>
      <c r="J115" s="197">
        <f t="shared" si="19"/>
        <v>1595</v>
      </c>
      <c r="K115" s="195" t="str">
        <f t="shared" si="18"/>
        <v/>
      </c>
      <c r="L115" s="198"/>
    </row>
    <row r="116" spans="1:12" ht="25.5" x14ac:dyDescent="0.2">
      <c r="A116" s="219"/>
      <c r="B116" s="35"/>
      <c r="C116" s="220" t="s">
        <v>231</v>
      </c>
      <c r="D116" s="2"/>
      <c r="E116" s="2"/>
      <c r="F116"/>
      <c r="G116" s="2"/>
      <c r="I116" s="159">
        <v>2395</v>
      </c>
      <c r="J116" s="197">
        <f t="shared" si="19"/>
        <v>2395</v>
      </c>
      <c r="K116" s="195" t="str">
        <f t="shared" si="18"/>
        <v/>
      </c>
      <c r="L116" s="198"/>
    </row>
    <row r="117" spans="1:12" ht="18.75" customHeight="1" x14ac:dyDescent="0.2">
      <c r="A117" s="219"/>
      <c r="B117" s="35"/>
      <c r="C117" s="220" t="s">
        <v>235</v>
      </c>
      <c r="D117" s="2"/>
      <c r="E117" s="2"/>
      <c r="F117"/>
      <c r="G117" s="2"/>
      <c r="I117" s="159">
        <v>2650</v>
      </c>
      <c r="J117" s="197">
        <f t="shared" si="19"/>
        <v>2650</v>
      </c>
      <c r="K117" s="195" t="str">
        <f t="shared" si="18"/>
        <v/>
      </c>
      <c r="L117" s="198"/>
    </row>
    <row r="118" spans="1:12" ht="25.5" x14ac:dyDescent="0.2">
      <c r="A118" s="240" t="s">
        <v>157</v>
      </c>
      <c r="B118" s="35"/>
      <c r="C118" s="33" t="s">
        <v>153</v>
      </c>
      <c r="D118" s="2"/>
      <c r="E118" s="2"/>
      <c r="F118" t="s">
        <v>124</v>
      </c>
      <c r="G118" s="2"/>
      <c r="I118" s="152">
        <v>395</v>
      </c>
      <c r="J118" s="197">
        <f t="shared" si="19"/>
        <v>395</v>
      </c>
      <c r="K118" s="195" t="str">
        <f t="shared" si="18"/>
        <v/>
      </c>
      <c r="L118" s="198"/>
    </row>
    <row r="119" spans="1:12" ht="39" thickBot="1" x14ac:dyDescent="0.25">
      <c r="A119" s="240"/>
      <c r="B119" s="35"/>
      <c r="C119" s="59" t="s">
        <v>158</v>
      </c>
      <c r="D119" s="2"/>
      <c r="E119" s="2"/>
      <c r="F119"/>
      <c r="G119" s="2"/>
      <c r="I119" s="159">
        <v>199</v>
      </c>
      <c r="J119" s="197">
        <f t="shared" si="19"/>
        <v>199</v>
      </c>
      <c r="K119" s="195" t="str">
        <f t="shared" si="18"/>
        <v/>
      </c>
      <c r="L119" s="198"/>
    </row>
    <row r="120" spans="1:12" ht="13.5" thickBot="1" x14ac:dyDescent="0.25">
      <c r="A120" s="211" t="s">
        <v>57</v>
      </c>
      <c r="B120" s="202"/>
      <c r="C120" s="202"/>
      <c r="D120" s="202"/>
      <c r="E120" s="175" t="str">
        <f t="shared" si="11"/>
        <v/>
      </c>
      <c r="F120" s="202">
        <f>SUM(E107:E119)</f>
        <v>0</v>
      </c>
      <c r="G120" s="202"/>
      <c r="H120" s="202"/>
      <c r="I120" s="203"/>
      <c r="J120" s="203"/>
      <c r="K120" s="212"/>
      <c r="L120" s="214">
        <f>SUM(K108:K119)</f>
        <v>0</v>
      </c>
    </row>
    <row r="121" spans="1:12" x14ac:dyDescent="0.2">
      <c r="B121" s="175"/>
      <c r="E121" s="175" t="str">
        <f t="shared" si="11"/>
        <v/>
      </c>
      <c r="J121" s="195" t="str">
        <f>IF(B121&gt;0,B121*I121,"")</f>
        <v/>
      </c>
      <c r="K121" s="195"/>
    </row>
    <row r="122" spans="1:12" x14ac:dyDescent="0.2">
      <c r="E122" s="175" t="str">
        <f t="shared" si="11"/>
        <v/>
      </c>
      <c r="I122" s="197"/>
      <c r="J122" s="210"/>
      <c r="K122" s="198"/>
      <c r="L122" s="191"/>
    </row>
    <row r="123" spans="1:12" x14ac:dyDescent="0.2">
      <c r="E123" s="175" t="str">
        <f t="shared" si="11"/>
        <v/>
      </c>
      <c r="L123" s="196"/>
    </row>
    <row r="124" spans="1:12" ht="13.5" thickBot="1" x14ac:dyDescent="0.25">
      <c r="A124" s="175" t="s">
        <v>21</v>
      </c>
      <c r="B124" s="193"/>
      <c r="C124" s="186" t="s">
        <v>43</v>
      </c>
      <c r="E124" s="175" t="str">
        <f t="shared" si="11"/>
        <v/>
      </c>
      <c r="I124" s="209"/>
      <c r="J124" s="195" t="str">
        <f>IF(B124&gt;0,B124*I124,"")</f>
        <v/>
      </c>
    </row>
    <row r="125" spans="1:12" ht="13.5" thickBot="1" x14ac:dyDescent="0.25">
      <c r="A125" s="211" t="s">
        <v>44</v>
      </c>
      <c r="B125" s="200"/>
      <c r="C125" s="201"/>
      <c r="D125" s="202"/>
      <c r="E125" s="175" t="str">
        <f t="shared" ref="E125:E161" si="20">IF(B125&gt;0,B125*D125,"")</f>
        <v/>
      </c>
      <c r="F125" s="202"/>
      <c r="G125" s="202"/>
      <c r="H125" s="202"/>
      <c r="I125" s="203"/>
      <c r="J125" s="212"/>
      <c r="K125" s="212"/>
      <c r="L125" s="213">
        <f>SUM(J124:J124)</f>
        <v>0</v>
      </c>
    </row>
    <row r="126" spans="1:12" ht="13.5" thickBot="1" x14ac:dyDescent="0.25">
      <c r="E126" s="175" t="str">
        <f t="shared" si="20"/>
        <v/>
      </c>
      <c r="F126" s="175">
        <f>SUM(E12:E125)</f>
        <v>6</v>
      </c>
    </row>
    <row r="127" spans="1:12" ht="13.5" thickBot="1" x14ac:dyDescent="0.25">
      <c r="E127" s="175" t="str">
        <f t="shared" si="20"/>
        <v/>
      </c>
      <c r="L127" s="215">
        <f>SUM(L86:L125)</f>
        <v>39</v>
      </c>
    </row>
    <row r="128" spans="1:12" x14ac:dyDescent="0.2">
      <c r="E128" s="175" t="str">
        <f t="shared" si="20"/>
        <v/>
      </c>
    </row>
    <row r="129" spans="2:11" x14ac:dyDescent="0.2">
      <c r="E129" s="175" t="str">
        <f t="shared" si="20"/>
        <v/>
      </c>
    </row>
    <row r="130" spans="2:11" x14ac:dyDescent="0.2">
      <c r="E130" s="175" t="str">
        <f t="shared" si="20"/>
        <v/>
      </c>
    </row>
    <row r="131" spans="2:11" x14ac:dyDescent="0.2">
      <c r="E131" s="175" t="str">
        <f t="shared" si="20"/>
        <v/>
      </c>
    </row>
    <row r="132" spans="2:11" x14ac:dyDescent="0.2">
      <c r="E132" s="175" t="str">
        <f t="shared" si="20"/>
        <v/>
      </c>
    </row>
    <row r="133" spans="2:11" x14ac:dyDescent="0.2">
      <c r="E133" s="175" t="str">
        <f t="shared" si="20"/>
        <v/>
      </c>
    </row>
    <row r="134" spans="2:11" x14ac:dyDescent="0.2">
      <c r="E134" s="175" t="str">
        <f t="shared" si="20"/>
        <v/>
      </c>
    </row>
    <row r="135" spans="2:11" x14ac:dyDescent="0.2">
      <c r="E135" s="175" t="str">
        <f t="shared" si="20"/>
        <v/>
      </c>
    </row>
    <row r="136" spans="2:11" x14ac:dyDescent="0.2">
      <c r="E136" s="175" t="str">
        <f t="shared" si="20"/>
        <v/>
      </c>
    </row>
    <row r="137" spans="2:11" x14ac:dyDescent="0.2">
      <c r="E137" s="175" t="str">
        <f t="shared" si="20"/>
        <v/>
      </c>
    </row>
    <row r="138" spans="2:11" x14ac:dyDescent="0.2">
      <c r="E138" s="175" t="str">
        <f t="shared" si="20"/>
        <v/>
      </c>
    </row>
    <row r="139" spans="2:11" x14ac:dyDescent="0.2">
      <c r="E139" s="175" t="str">
        <f t="shared" si="20"/>
        <v/>
      </c>
    </row>
    <row r="140" spans="2:11" x14ac:dyDescent="0.2">
      <c r="E140" s="175" t="str">
        <f t="shared" si="20"/>
        <v/>
      </c>
    </row>
    <row r="141" spans="2:11" x14ac:dyDescent="0.2">
      <c r="B141" s="175"/>
      <c r="C141" s="175"/>
      <c r="E141" s="175" t="str">
        <f t="shared" si="20"/>
        <v/>
      </c>
      <c r="J141" s="176"/>
      <c r="K141" s="176"/>
    </row>
    <row r="142" spans="2:11" x14ac:dyDescent="0.2">
      <c r="B142" s="175"/>
      <c r="C142" s="175"/>
      <c r="E142" s="175" t="str">
        <f t="shared" si="20"/>
        <v/>
      </c>
      <c r="J142" s="176"/>
      <c r="K142" s="176"/>
    </row>
    <row r="143" spans="2:11" x14ac:dyDescent="0.2">
      <c r="B143" s="175"/>
      <c r="C143" s="175"/>
      <c r="E143" s="175" t="str">
        <f t="shared" si="20"/>
        <v/>
      </c>
      <c r="J143" s="176"/>
      <c r="K143" s="176"/>
    </row>
    <row r="144" spans="2:11" x14ac:dyDescent="0.2">
      <c r="B144" s="175"/>
      <c r="C144" s="175"/>
      <c r="E144" s="175" t="str">
        <f t="shared" si="20"/>
        <v/>
      </c>
      <c r="J144" s="176"/>
      <c r="K144" s="176"/>
    </row>
    <row r="145" spans="2:11" x14ac:dyDescent="0.2">
      <c r="B145" s="175"/>
      <c r="C145" s="175"/>
      <c r="E145" s="175" t="str">
        <f t="shared" si="20"/>
        <v/>
      </c>
      <c r="J145" s="176"/>
      <c r="K145" s="176"/>
    </row>
    <row r="146" spans="2:11" x14ac:dyDescent="0.2">
      <c r="B146" s="175"/>
      <c r="C146" s="175"/>
      <c r="E146" s="175" t="str">
        <f t="shared" si="20"/>
        <v/>
      </c>
      <c r="J146" s="176"/>
      <c r="K146" s="176"/>
    </row>
    <row r="147" spans="2:11" x14ac:dyDescent="0.2">
      <c r="B147" s="175"/>
      <c r="C147" s="175"/>
      <c r="E147" s="175" t="str">
        <f t="shared" si="20"/>
        <v/>
      </c>
      <c r="J147" s="176"/>
      <c r="K147" s="176"/>
    </row>
    <row r="148" spans="2:11" x14ac:dyDescent="0.2">
      <c r="B148" s="175"/>
      <c r="C148" s="175"/>
      <c r="E148" s="175" t="str">
        <f t="shared" si="20"/>
        <v/>
      </c>
      <c r="J148" s="176"/>
      <c r="K148" s="176"/>
    </row>
    <row r="149" spans="2:11" x14ac:dyDescent="0.2">
      <c r="B149" s="175"/>
      <c r="C149" s="175"/>
      <c r="E149" s="175" t="str">
        <f t="shared" si="20"/>
        <v/>
      </c>
      <c r="J149" s="176"/>
      <c r="K149" s="176"/>
    </row>
    <row r="150" spans="2:11" x14ac:dyDescent="0.2">
      <c r="B150" s="175"/>
      <c r="C150" s="175"/>
      <c r="E150" s="175" t="str">
        <f t="shared" si="20"/>
        <v/>
      </c>
      <c r="J150" s="176"/>
      <c r="K150" s="176"/>
    </row>
    <row r="151" spans="2:11" x14ac:dyDescent="0.2">
      <c r="B151" s="175"/>
      <c r="C151" s="175"/>
      <c r="E151" s="175" t="str">
        <f t="shared" si="20"/>
        <v/>
      </c>
      <c r="J151" s="176"/>
      <c r="K151" s="176"/>
    </row>
    <row r="152" spans="2:11" x14ac:dyDescent="0.2">
      <c r="B152" s="175"/>
      <c r="C152" s="175"/>
      <c r="E152" s="175" t="str">
        <f t="shared" si="20"/>
        <v/>
      </c>
      <c r="J152" s="176"/>
      <c r="K152" s="176"/>
    </row>
    <row r="153" spans="2:11" x14ac:dyDescent="0.2">
      <c r="B153" s="175"/>
      <c r="C153" s="175"/>
      <c r="E153" s="175" t="str">
        <f t="shared" si="20"/>
        <v/>
      </c>
      <c r="J153" s="176"/>
      <c r="K153" s="176"/>
    </row>
    <row r="154" spans="2:11" x14ac:dyDescent="0.2">
      <c r="B154" s="175"/>
      <c r="C154" s="175"/>
      <c r="E154" s="175" t="str">
        <f t="shared" si="20"/>
        <v/>
      </c>
      <c r="J154" s="176"/>
      <c r="K154" s="176"/>
    </row>
    <row r="155" spans="2:11" x14ac:dyDescent="0.2">
      <c r="B155" s="175"/>
      <c r="C155" s="175"/>
      <c r="E155" s="175" t="str">
        <f t="shared" si="20"/>
        <v/>
      </c>
      <c r="J155" s="176"/>
      <c r="K155" s="176"/>
    </row>
    <row r="156" spans="2:11" x14ac:dyDescent="0.2">
      <c r="B156" s="175"/>
      <c r="C156" s="175"/>
      <c r="E156" s="175" t="str">
        <f t="shared" si="20"/>
        <v/>
      </c>
      <c r="J156" s="176"/>
      <c r="K156" s="176"/>
    </row>
    <row r="157" spans="2:11" x14ac:dyDescent="0.2">
      <c r="B157" s="175"/>
      <c r="C157" s="175"/>
      <c r="E157" s="175" t="str">
        <f t="shared" si="20"/>
        <v/>
      </c>
      <c r="J157" s="176"/>
      <c r="K157" s="176"/>
    </row>
    <row r="158" spans="2:11" x14ac:dyDescent="0.2">
      <c r="B158" s="175"/>
      <c r="C158" s="175"/>
      <c r="E158" s="175" t="str">
        <f t="shared" si="20"/>
        <v/>
      </c>
      <c r="J158" s="176"/>
      <c r="K158" s="176"/>
    </row>
    <row r="159" spans="2:11" x14ac:dyDescent="0.2">
      <c r="B159" s="175"/>
      <c r="C159" s="175"/>
      <c r="E159" s="175" t="str">
        <f t="shared" si="20"/>
        <v/>
      </c>
      <c r="J159" s="176"/>
      <c r="K159" s="176"/>
    </row>
    <row r="160" spans="2:11" x14ac:dyDescent="0.2">
      <c r="B160" s="175"/>
      <c r="C160" s="175"/>
      <c r="E160" s="175" t="str">
        <f t="shared" si="20"/>
        <v/>
      </c>
      <c r="J160" s="176"/>
      <c r="K160" s="176"/>
    </row>
    <row r="161" spans="2:11" x14ac:dyDescent="0.2">
      <c r="B161" s="175"/>
      <c r="C161" s="175"/>
      <c r="E161" s="175" t="str">
        <f t="shared" si="20"/>
        <v/>
      </c>
      <c r="J161" s="176"/>
      <c r="K161" s="176"/>
    </row>
  </sheetData>
  <sheetProtection algorithmName="SHA-512" hashValue="ntX4fdeiEgM/zoQBeMKju3QgRofr4NqbQ/rTD2e5Lyka5I6lhavgd77kCAeRTq1XWoCCdaUJMLEMB22/DMwkHQ==" saltValue="zpcjyeakNo8DhZvp9zttTg==" spinCount="100000" sheet="1" selectLockedCells="1"/>
  <mergeCells count="4">
    <mergeCell ref="G9:H9"/>
    <mergeCell ref="I9:J9"/>
    <mergeCell ref="A108:A115"/>
    <mergeCell ref="A118:A119"/>
  </mergeCells>
  <printOptions horizontalCentered="1"/>
  <pageMargins left="0.25" right="0.25" top="0.5" bottom="0.5" header="0" footer="0"/>
  <pageSetup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346F-CEB9-40FD-83AD-CE384BEA6FA9}">
  <dimension ref="A1:J20"/>
  <sheetViews>
    <sheetView workbookViewId="0">
      <selection activeCell="M14" sqref="M14"/>
    </sheetView>
  </sheetViews>
  <sheetFormatPr defaultColWidth="8.7109375" defaultRowHeight="15" x14ac:dyDescent="0.25"/>
  <cols>
    <col min="1" max="1" width="40.28515625" style="221" bestFit="1" customWidth="1"/>
    <col min="2" max="2" width="9.140625" style="221" customWidth="1"/>
    <col min="3" max="3" width="6.140625" style="221" customWidth="1"/>
    <col min="4" max="16384" width="8.7109375" style="221"/>
  </cols>
  <sheetData>
    <row r="1" spans="1:10" ht="15.75" thickBot="1" x14ac:dyDescent="0.3">
      <c r="B1" s="243" t="s">
        <v>186</v>
      </c>
      <c r="C1" s="245" t="s">
        <v>187</v>
      </c>
      <c r="D1" s="246"/>
      <c r="E1" s="246"/>
      <c r="F1" s="247"/>
    </row>
    <row r="2" spans="1:10" s="222" customFormat="1" ht="32.65" customHeight="1" thickBot="1" x14ac:dyDescent="0.3">
      <c r="A2" s="222" t="s">
        <v>188</v>
      </c>
      <c r="B2" s="244"/>
      <c r="C2" s="223" t="s">
        <v>189</v>
      </c>
      <c r="D2" s="224" t="s">
        <v>191</v>
      </c>
      <c r="E2" s="224" t="s">
        <v>192</v>
      </c>
      <c r="F2" s="225" t="s">
        <v>190</v>
      </c>
    </row>
    <row r="3" spans="1:10" x14ac:dyDescent="0.25">
      <c r="A3" s="221" t="s">
        <v>193</v>
      </c>
      <c r="B3" s="226">
        <v>1</v>
      </c>
      <c r="C3" s="227"/>
      <c r="D3" s="228">
        <v>110</v>
      </c>
      <c r="E3" s="228">
        <v>145</v>
      </c>
      <c r="F3" s="229">
        <v>170</v>
      </c>
      <c r="G3" s="222"/>
      <c r="H3" s="222"/>
      <c r="I3" s="222"/>
    </row>
    <row r="4" spans="1:10" x14ac:dyDescent="0.25">
      <c r="A4" s="221" t="s">
        <v>194</v>
      </c>
      <c r="B4" s="230">
        <v>2</v>
      </c>
      <c r="C4" s="231"/>
      <c r="D4" s="221">
        <v>60</v>
      </c>
      <c r="E4" s="221">
        <v>70</v>
      </c>
      <c r="F4" s="232">
        <v>80</v>
      </c>
      <c r="G4" s="222"/>
      <c r="H4" s="222"/>
      <c r="I4" s="222"/>
    </row>
    <row r="5" spans="1:10" x14ac:dyDescent="0.25">
      <c r="A5" s="221" t="s">
        <v>195</v>
      </c>
      <c r="B5" s="230">
        <v>5</v>
      </c>
      <c r="C5" s="231"/>
      <c r="D5" s="221">
        <v>225</v>
      </c>
      <c r="E5" s="221">
        <v>290</v>
      </c>
      <c r="F5" s="232">
        <v>340</v>
      </c>
      <c r="G5" s="222"/>
      <c r="H5" s="222"/>
      <c r="I5" s="222"/>
    </row>
    <row r="6" spans="1:10" x14ac:dyDescent="0.25">
      <c r="A6" s="221" t="s">
        <v>196</v>
      </c>
      <c r="B6" s="230">
        <v>1</v>
      </c>
      <c r="C6" s="231"/>
      <c r="D6" s="221">
        <v>50</v>
      </c>
      <c r="E6" s="221">
        <v>65</v>
      </c>
      <c r="F6" s="232">
        <v>75</v>
      </c>
      <c r="G6" s="222"/>
      <c r="H6" s="222"/>
      <c r="I6" s="222"/>
      <c r="J6" s="222"/>
    </row>
    <row r="7" spans="1:10" x14ac:dyDescent="0.25">
      <c r="A7" s="221" t="s">
        <v>197</v>
      </c>
      <c r="B7" s="230">
        <v>4</v>
      </c>
      <c r="C7" s="231"/>
      <c r="D7" s="221">
        <v>165</v>
      </c>
      <c r="E7" s="221">
        <v>190</v>
      </c>
      <c r="F7" s="232">
        <v>235</v>
      </c>
      <c r="G7" s="222"/>
      <c r="H7" s="222"/>
      <c r="I7" s="222"/>
      <c r="J7" s="222"/>
    </row>
    <row r="8" spans="1:10" x14ac:dyDescent="0.25">
      <c r="A8" s="221" t="s">
        <v>198</v>
      </c>
      <c r="B8" s="230">
        <v>4</v>
      </c>
      <c r="C8" s="231"/>
      <c r="D8" s="221">
        <v>185</v>
      </c>
      <c r="E8" s="221">
        <v>245</v>
      </c>
      <c r="F8" s="232">
        <v>295</v>
      </c>
      <c r="G8" s="222"/>
      <c r="H8" s="222"/>
      <c r="I8" s="222"/>
      <c r="J8" s="222"/>
    </row>
    <row r="9" spans="1:10" x14ac:dyDescent="0.25">
      <c r="A9" s="221" t="s">
        <v>199</v>
      </c>
      <c r="B9" s="230">
        <v>1</v>
      </c>
      <c r="C9" s="231"/>
      <c r="D9" s="221">
        <v>60</v>
      </c>
      <c r="E9" s="221">
        <v>70</v>
      </c>
      <c r="F9" s="232">
        <v>80</v>
      </c>
      <c r="G9" s="222"/>
      <c r="H9" s="222"/>
      <c r="I9" s="222"/>
      <c r="J9" s="222"/>
    </row>
    <row r="10" spans="1:10" x14ac:dyDescent="0.25">
      <c r="A10" s="221" t="s">
        <v>200</v>
      </c>
      <c r="B10" s="230">
        <v>1</v>
      </c>
      <c r="C10" s="231"/>
      <c r="D10" s="221">
        <v>60</v>
      </c>
      <c r="E10" s="221">
        <v>75</v>
      </c>
      <c r="F10" s="232">
        <v>95</v>
      </c>
      <c r="G10" s="222"/>
      <c r="H10" s="222"/>
      <c r="I10" s="222"/>
      <c r="J10" s="222"/>
    </row>
    <row r="11" spans="1:10" x14ac:dyDescent="0.25">
      <c r="A11" s="221" t="s">
        <v>201</v>
      </c>
      <c r="B11" s="230">
        <v>2</v>
      </c>
      <c r="C11" s="231"/>
      <c r="D11" s="221">
        <v>35</v>
      </c>
      <c r="E11" s="221">
        <v>45</v>
      </c>
      <c r="F11" s="232">
        <v>50</v>
      </c>
      <c r="G11" s="222"/>
      <c r="H11" s="222"/>
      <c r="I11" s="222"/>
      <c r="J11" s="222"/>
    </row>
    <row r="12" spans="1:10" x14ac:dyDescent="0.25">
      <c r="A12" s="221" t="s">
        <v>202</v>
      </c>
      <c r="B12" s="230">
        <v>1</v>
      </c>
      <c r="C12" s="231">
        <v>195</v>
      </c>
      <c r="D12" s="221">
        <v>340</v>
      </c>
      <c r="E12" s="221">
        <v>375</v>
      </c>
      <c r="F12" s="232">
        <v>420</v>
      </c>
      <c r="G12" s="222"/>
      <c r="H12" s="222"/>
      <c r="I12" s="222"/>
      <c r="J12" s="222"/>
    </row>
    <row r="13" spans="1:10" x14ac:dyDescent="0.25">
      <c r="A13" s="221" t="s">
        <v>203</v>
      </c>
      <c r="B13" s="230">
        <v>1</v>
      </c>
      <c r="C13" s="231"/>
      <c r="D13" s="221">
        <v>50</v>
      </c>
      <c r="E13" s="221">
        <v>70</v>
      </c>
      <c r="F13" s="232">
        <v>75</v>
      </c>
      <c r="G13" s="222"/>
      <c r="H13" s="222"/>
      <c r="I13" s="222"/>
      <c r="J13" s="222"/>
    </row>
    <row r="14" spans="1:10" x14ac:dyDescent="0.25">
      <c r="A14" s="221" t="s">
        <v>204</v>
      </c>
      <c r="B14" s="230">
        <v>3</v>
      </c>
      <c r="C14" s="231"/>
      <c r="D14" s="221">
        <v>305</v>
      </c>
      <c r="E14" s="221">
        <v>340</v>
      </c>
      <c r="F14" s="232">
        <v>390</v>
      </c>
      <c r="G14" s="222"/>
      <c r="H14" s="222"/>
      <c r="I14" s="222"/>
      <c r="J14" s="222"/>
    </row>
    <row r="15" spans="1:10" ht="15.75" thickBot="1" x14ac:dyDescent="0.3">
      <c r="A15" s="221" t="s">
        <v>205</v>
      </c>
      <c r="B15" s="233">
        <v>1</v>
      </c>
      <c r="C15" s="234"/>
      <c r="D15" s="235">
        <v>45</v>
      </c>
      <c r="E15" s="235">
        <v>55</v>
      </c>
      <c r="F15" s="236">
        <v>65</v>
      </c>
      <c r="G15" s="222"/>
      <c r="H15" s="222"/>
      <c r="I15" s="222"/>
      <c r="J15" s="222"/>
    </row>
    <row r="16" spans="1:10" x14ac:dyDescent="0.25">
      <c r="G16" s="222"/>
      <c r="H16" s="222"/>
      <c r="I16" s="222"/>
      <c r="J16" s="222"/>
    </row>
    <row r="17" spans="7:10" x14ac:dyDescent="0.25">
      <c r="G17" s="222"/>
      <c r="H17" s="222"/>
      <c r="I17" s="222"/>
      <c r="J17" s="222"/>
    </row>
    <row r="18" spans="7:10" x14ac:dyDescent="0.25">
      <c r="G18" s="222"/>
      <c r="H18" s="222"/>
      <c r="I18" s="222"/>
      <c r="J18" s="222"/>
    </row>
    <row r="19" spans="7:10" x14ac:dyDescent="0.25">
      <c r="G19" s="222"/>
      <c r="H19" s="222"/>
      <c r="I19" s="222"/>
      <c r="J19" s="222"/>
    </row>
    <row r="20" spans="7:10" x14ac:dyDescent="0.25">
      <c r="G20" s="222"/>
      <c r="H20" s="222"/>
      <c r="I20" s="222"/>
      <c r="J20" s="222"/>
    </row>
  </sheetData>
  <mergeCells count="2">
    <mergeCell ref="B1:B2"/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964</vt:lpstr>
      <vt:lpstr>993</vt:lpstr>
      <vt:lpstr>Ala Carte</vt:lpstr>
      <vt:lpstr>Powder Coat</vt:lpstr>
      <vt:lpstr>CONDITION</vt:lpstr>
      <vt:lpstr>ENGINE</vt:lpstr>
      <vt:lpstr>TRANS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Steven Timmins</dc:creator>
  <cp:lastModifiedBy>Steven Timmins</cp:lastModifiedBy>
  <cp:lastPrinted>2018-10-15T14:15:59Z</cp:lastPrinted>
  <dcterms:created xsi:type="dcterms:W3CDTF">2000-08-21T13:09:16Z</dcterms:created>
  <dcterms:modified xsi:type="dcterms:W3CDTF">2022-05-07T15:41:53Z</dcterms:modified>
</cp:coreProperties>
</file>