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54385f883b2aa71/IG/Data/"/>
    </mc:Choice>
  </mc:AlternateContent>
  <xr:revisionPtr revIDLastSave="59" documentId="8_{2AB1A8A5-D10B-4834-853A-861EDB2287D1}" xr6:coauthVersionLast="47" xr6:coauthVersionMax="47" xr10:uidLastSave="{9B1D241A-CB3C-4B64-AD8D-25416A6C2778}"/>
  <bookViews>
    <workbookView xWindow="-110" yWindow="-110" windowWidth="25820" windowHeight="15500" xr2:uid="{00000000-000D-0000-FFFF-FFFF00000000}"/>
  </bookViews>
  <sheets>
    <sheet name="993" sheetId="10" r:id="rId1"/>
    <sheet name="964" sheetId="8" r:id="rId2"/>
    <sheet name="Ala Carte" sheetId="12" r:id="rId3"/>
    <sheet name="Powder Coat" sheetId="13" r:id="rId4"/>
  </sheets>
  <definedNames>
    <definedName name="CONDITION" localSheetId="3">#REF!</definedName>
    <definedName name="CONDITION">'993'!$F$21</definedName>
    <definedName name="ENGINE" localSheetId="3">#REF!</definedName>
    <definedName name="ENGINE">'993'!$F$16</definedName>
    <definedName name="TRANS" localSheetId="3">#REF!</definedName>
    <definedName name="TRANS">'993'!$F$11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0" i="10" l="1"/>
  <c r="F60" i="10"/>
  <c r="F61" i="10"/>
  <c r="F59" i="10"/>
  <c r="F54" i="10"/>
  <c r="E54" i="10"/>
  <c r="A7" i="8"/>
  <c r="A6" i="8"/>
  <c r="A5" i="8"/>
  <c r="A4" i="8"/>
  <c r="A3" i="8"/>
  <c r="A2" i="8"/>
  <c r="A1" i="8"/>
  <c r="I80" i="8"/>
  <c r="I79" i="8"/>
  <c r="I78" i="8"/>
  <c r="I94" i="10"/>
  <c r="I96" i="10"/>
  <c r="I97" i="10"/>
  <c r="I98" i="10"/>
  <c r="I99" i="10"/>
  <c r="I100" i="10"/>
  <c r="I101" i="10"/>
  <c r="I102" i="10"/>
  <c r="I103" i="10"/>
  <c r="I104" i="10"/>
  <c r="I65" i="10"/>
  <c r="I67" i="10"/>
  <c r="H143" i="10"/>
  <c r="H124" i="8"/>
  <c r="H125" i="8" s="1"/>
  <c r="H138" i="10"/>
  <c r="H141" i="10" s="1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H65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64" i="12"/>
  <c r="J48" i="12"/>
  <c r="J49" i="12"/>
  <c r="J50" i="12"/>
  <c r="J51" i="12"/>
  <c r="J52" i="12"/>
  <c r="J53" i="12"/>
  <c r="J55" i="12"/>
  <c r="J56" i="12"/>
  <c r="J57" i="12"/>
  <c r="J58" i="12"/>
  <c r="J59" i="12"/>
  <c r="J60" i="12"/>
  <c r="J47" i="12"/>
  <c r="J44" i="12"/>
  <c r="I44" i="12"/>
  <c r="H44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12" i="12"/>
  <c r="G44" i="12"/>
  <c r="I120" i="8"/>
  <c r="I119" i="8"/>
  <c r="I118" i="8"/>
  <c r="I117" i="8"/>
  <c r="I116" i="8"/>
  <c r="I115" i="8"/>
  <c r="I114" i="8"/>
  <c r="I113" i="8"/>
  <c r="I112" i="8"/>
  <c r="I111" i="8"/>
  <c r="I110" i="8"/>
  <c r="I109" i="8"/>
  <c r="F121" i="8"/>
  <c r="G121" i="8"/>
  <c r="F122" i="8"/>
  <c r="E121" i="12"/>
  <c r="E122" i="12"/>
  <c r="E123" i="12"/>
  <c r="E124" i="12"/>
  <c r="E125" i="12"/>
  <c r="E126" i="12"/>
  <c r="E127" i="12"/>
  <c r="E128" i="12"/>
  <c r="E129" i="12"/>
  <c r="E130" i="12"/>
  <c r="E131" i="12"/>
  <c r="K121" i="8" l="1"/>
  <c r="J86" i="12"/>
  <c r="H144" i="10"/>
  <c r="K121" i="12"/>
  <c r="K107" i="12"/>
  <c r="G70" i="12"/>
  <c r="H70" i="12" s="1"/>
  <c r="C70" i="12"/>
  <c r="I82" i="10"/>
  <c r="I83" i="10"/>
  <c r="I84" i="10"/>
  <c r="I85" i="10"/>
  <c r="I86" i="10"/>
  <c r="I87" i="10"/>
  <c r="I88" i="10"/>
  <c r="I89" i="10"/>
  <c r="I90" i="10"/>
  <c r="C75" i="10"/>
  <c r="E94" i="12"/>
  <c r="E96" i="12"/>
  <c r="E106" i="12"/>
  <c r="E107" i="12"/>
  <c r="E108" i="12"/>
  <c r="F121" i="12" s="1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J125" i="12"/>
  <c r="K126" i="12" s="1"/>
  <c r="J122" i="12"/>
  <c r="E88" i="12"/>
  <c r="E87" i="12"/>
  <c r="E86" i="12"/>
  <c r="E85" i="12"/>
  <c r="E84" i="12"/>
  <c r="E83" i="12"/>
  <c r="E82" i="12"/>
  <c r="E81" i="12"/>
  <c r="H80" i="12"/>
  <c r="H79" i="12"/>
  <c r="H78" i="12"/>
  <c r="E78" i="12"/>
  <c r="E76" i="12"/>
  <c r="H75" i="12"/>
  <c r="E75" i="12"/>
  <c r="H74" i="12"/>
  <c r="E74" i="12"/>
  <c r="H73" i="12"/>
  <c r="E73" i="12"/>
  <c r="H72" i="12"/>
  <c r="H71" i="12"/>
  <c r="E71" i="12"/>
  <c r="H68" i="12"/>
  <c r="I67" i="12"/>
  <c r="G66" i="12"/>
  <c r="I65" i="12"/>
  <c r="H64" i="12"/>
  <c r="E64" i="12"/>
  <c r="E63" i="12"/>
  <c r="E61" i="12"/>
  <c r="H60" i="12"/>
  <c r="E60" i="12"/>
  <c r="H59" i="12"/>
  <c r="E59" i="12"/>
  <c r="H58" i="12"/>
  <c r="E58" i="12"/>
  <c r="E56" i="12"/>
  <c r="E55" i="12"/>
  <c r="H54" i="12"/>
  <c r="J54" i="12" s="1"/>
  <c r="J61" i="12" s="1"/>
  <c r="K87" i="12" s="1"/>
  <c r="E54" i="12"/>
  <c r="E53" i="12"/>
  <c r="E51" i="12"/>
  <c r="F50" i="12"/>
  <c r="H49" i="12"/>
  <c r="E49" i="12"/>
  <c r="H48" i="12"/>
  <c r="E48" i="12"/>
  <c r="H47" i="12"/>
  <c r="E47" i="12"/>
  <c r="E46" i="12"/>
  <c r="E45" i="12"/>
  <c r="D44" i="12"/>
  <c r="E43" i="12"/>
  <c r="E42" i="12"/>
  <c r="E41" i="12"/>
  <c r="E40" i="12"/>
  <c r="E38" i="12"/>
  <c r="E35" i="12"/>
  <c r="E34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F107" i="12" l="1"/>
  <c r="F127" i="12"/>
  <c r="F61" i="12"/>
  <c r="F16" i="12"/>
  <c r="F43" i="12"/>
  <c r="F86" i="12"/>
  <c r="F26" i="12"/>
  <c r="F22" i="12"/>
  <c r="F34" i="12"/>
  <c r="K128" i="12" l="1"/>
  <c r="F44" i="12"/>
  <c r="I12" i="8" l="1"/>
  <c r="J12" i="8"/>
  <c r="I123" i="8"/>
  <c r="H139" i="10"/>
  <c r="B14" i="10"/>
  <c r="B12" i="10"/>
  <c r="H142" i="10" l="1"/>
  <c r="H145" i="10" s="1"/>
  <c r="I124" i="8"/>
  <c r="I57" i="10"/>
  <c r="I58" i="10"/>
  <c r="I62" i="10"/>
  <c r="I63" i="10"/>
  <c r="I64" i="10"/>
  <c r="F21" i="10"/>
  <c r="F16" i="10"/>
  <c r="B144" i="10" l="1"/>
  <c r="I144" i="10" s="1"/>
  <c r="B143" i="10"/>
  <c r="I143" i="10" s="1"/>
  <c r="B145" i="10"/>
  <c r="I145" i="10" s="1"/>
  <c r="B142" i="10"/>
  <c r="I142" i="10" s="1"/>
  <c r="B140" i="10"/>
  <c r="B141" i="10"/>
  <c r="I141" i="10" s="1"/>
  <c r="B60" i="10"/>
  <c r="B139" i="10"/>
  <c r="I139" i="10" s="1"/>
  <c r="B138" i="10"/>
  <c r="I138" i="10" s="1"/>
  <c r="B137" i="10"/>
  <c r="I137" i="10" s="1"/>
  <c r="B61" i="10"/>
  <c r="I61" i="10" s="1"/>
  <c r="B59" i="10"/>
  <c r="B148" i="10" l="1"/>
  <c r="I140" i="10"/>
  <c r="B70" i="10"/>
  <c r="I59" i="10"/>
  <c r="I60" i="10"/>
  <c r="B71" i="10" l="1"/>
  <c r="B72" i="10"/>
  <c r="K150" i="10" l="1"/>
  <c r="I125" i="8"/>
  <c r="K129" i="8" s="1"/>
  <c r="C84" i="10"/>
  <c r="F84" i="10"/>
  <c r="H84" i="10"/>
  <c r="I68" i="8"/>
  <c r="C82" i="10"/>
  <c r="F82" i="10"/>
  <c r="H82" i="10"/>
  <c r="C83" i="10"/>
  <c r="F83" i="10"/>
  <c r="H83" i="10"/>
  <c r="I66" i="8"/>
  <c r="I67" i="8"/>
  <c r="I69" i="8"/>
  <c r="I70" i="8"/>
  <c r="I71" i="8"/>
  <c r="I72" i="8"/>
  <c r="I124" i="10"/>
  <c r="I126" i="10"/>
  <c r="I128" i="10"/>
  <c r="I129" i="10"/>
  <c r="I130" i="10"/>
  <c r="I133" i="10"/>
  <c r="I134" i="10"/>
  <c r="I127" i="10"/>
  <c r="I91" i="10"/>
  <c r="I92" i="10"/>
  <c r="I75" i="10"/>
  <c r="I76" i="10"/>
  <c r="I77" i="10"/>
  <c r="I78" i="10"/>
  <c r="I79" i="10"/>
  <c r="I80" i="10"/>
  <c r="I62" i="8"/>
  <c r="I63" i="8"/>
  <c r="I64" i="8"/>
  <c r="F62" i="8"/>
  <c r="B12" i="8"/>
  <c r="B34" i="8" s="1"/>
  <c r="F34" i="8" s="1"/>
  <c r="C91" i="10"/>
  <c r="F91" i="10"/>
  <c r="H91" i="10"/>
  <c r="I73" i="8"/>
  <c r="E53" i="10"/>
  <c r="F53" i="10" s="1"/>
  <c r="D28" i="10"/>
  <c r="E17" i="8"/>
  <c r="D29" i="10"/>
  <c r="E29" i="10"/>
  <c r="D30" i="10"/>
  <c r="E30" i="10"/>
  <c r="F20" i="8"/>
  <c r="D32" i="10"/>
  <c r="D33" i="10"/>
  <c r="E33" i="10"/>
  <c r="D34" i="10"/>
  <c r="D35" i="10"/>
  <c r="D36" i="10"/>
  <c r="D39" i="10"/>
  <c r="D41" i="10"/>
  <c r="D42" i="10"/>
  <c r="E42" i="10"/>
  <c r="D44" i="10"/>
  <c r="E33" i="8"/>
  <c r="D45" i="10"/>
  <c r="E45" i="10"/>
  <c r="D46" i="10"/>
  <c r="E46" i="10"/>
  <c r="D49" i="10"/>
  <c r="D50" i="10"/>
  <c r="E50" i="10"/>
  <c r="D51" i="10"/>
  <c r="D96" i="10"/>
  <c r="D97" i="10"/>
  <c r="E79" i="8"/>
  <c r="D98" i="10"/>
  <c r="E80" i="8"/>
  <c r="D27" i="10"/>
  <c r="C98" i="10"/>
  <c r="C97" i="10"/>
  <c r="C96" i="10"/>
  <c r="C51" i="10"/>
  <c r="C50" i="10"/>
  <c r="C49" i="10"/>
  <c r="C46" i="10"/>
  <c r="C45" i="10"/>
  <c r="C44" i="10"/>
  <c r="C43" i="10"/>
  <c r="C42" i="10"/>
  <c r="C41" i="10"/>
  <c r="C36" i="10"/>
  <c r="C35" i="10"/>
  <c r="C34" i="10"/>
  <c r="C33" i="10"/>
  <c r="C32" i="10"/>
  <c r="C28" i="10"/>
  <c r="C29" i="10"/>
  <c r="C30" i="10"/>
  <c r="C27" i="10"/>
  <c r="B39" i="10"/>
  <c r="B27" i="10"/>
  <c r="E16" i="8"/>
  <c r="B14" i="8"/>
  <c r="B22" i="8" s="1"/>
  <c r="F17" i="8"/>
  <c r="F18" i="8"/>
  <c r="F19" i="8"/>
  <c r="E21" i="8"/>
  <c r="B11" i="8"/>
  <c r="B33" i="8" s="1"/>
  <c r="F33" i="8" s="1"/>
  <c r="B13" i="8"/>
  <c r="E23" i="8"/>
  <c r="F23" i="8"/>
  <c r="E24" i="8"/>
  <c r="F24" i="8"/>
  <c r="E25" i="8"/>
  <c r="F25" i="8"/>
  <c r="F26" i="8"/>
  <c r="E27" i="8"/>
  <c r="F27" i="8"/>
  <c r="B28" i="8"/>
  <c r="F28" i="8" s="1"/>
  <c r="E28" i="8"/>
  <c r="F29" i="8"/>
  <c r="E30" i="8"/>
  <c r="D32" i="8"/>
  <c r="E38" i="8"/>
  <c r="E40" i="8"/>
  <c r="F40" i="8"/>
  <c r="F41" i="8"/>
  <c r="F42" i="8"/>
  <c r="E43" i="8"/>
  <c r="F43" i="8"/>
  <c r="E78" i="8"/>
  <c r="F78" i="8"/>
  <c r="F79" i="8"/>
  <c r="F80" i="8"/>
  <c r="F44" i="8"/>
  <c r="F46" i="8"/>
  <c r="F47" i="8"/>
  <c r="F48" i="8"/>
  <c r="F49" i="8"/>
  <c r="F50" i="8"/>
  <c r="F51" i="8"/>
  <c r="F52" i="8"/>
  <c r="F53" i="8"/>
  <c r="F54" i="8"/>
  <c r="F55" i="8"/>
  <c r="F56" i="8"/>
  <c r="F59" i="8"/>
  <c r="F60" i="8"/>
  <c r="F61" i="8"/>
  <c r="F65" i="8"/>
  <c r="F69" i="8"/>
  <c r="F70" i="8"/>
  <c r="F72" i="8"/>
  <c r="F74" i="8"/>
  <c r="F75" i="8"/>
  <c r="F76" i="8"/>
  <c r="F87" i="8"/>
  <c r="F88" i="8"/>
  <c r="F89" i="8"/>
  <c r="F90" i="8"/>
  <c r="F93" i="8"/>
  <c r="F96" i="8"/>
  <c r="F101" i="8"/>
  <c r="F106" i="8"/>
  <c r="G106" i="8"/>
  <c r="F108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H71" i="8"/>
  <c r="I92" i="8"/>
  <c r="I93" i="8"/>
  <c r="I94" i="8"/>
  <c r="I95" i="8"/>
  <c r="I96" i="8"/>
  <c r="I91" i="8"/>
  <c r="I97" i="8"/>
  <c r="I98" i="8"/>
  <c r="I99" i="8"/>
  <c r="I100" i="8"/>
  <c r="I101" i="8"/>
  <c r="I102" i="8"/>
  <c r="I103" i="8"/>
  <c r="I104" i="8"/>
  <c r="I105" i="8"/>
  <c r="I74" i="8"/>
  <c r="I75" i="8"/>
  <c r="I65" i="8"/>
  <c r="I76" i="8"/>
  <c r="I77" i="8"/>
  <c r="I81" i="8"/>
  <c r="I82" i="8"/>
  <c r="I83" i="8"/>
  <c r="I84" i="8"/>
  <c r="I85" i="8"/>
  <c r="I86" i="8"/>
  <c r="I110" i="10"/>
  <c r="I109" i="10"/>
  <c r="I111" i="10"/>
  <c r="I112" i="10"/>
  <c r="I113" i="10"/>
  <c r="I114" i="10"/>
  <c r="I115" i="10"/>
  <c r="I116" i="10"/>
  <c r="H117" i="10"/>
  <c r="I117" i="10" s="1"/>
  <c r="I118" i="10"/>
  <c r="H119" i="10"/>
  <c r="I119" i="10"/>
  <c r="I120" i="10"/>
  <c r="K140" i="8"/>
  <c r="K161" i="10"/>
  <c r="H114" i="10"/>
  <c r="H115" i="10"/>
  <c r="H116" i="10"/>
  <c r="H118" i="10"/>
  <c r="H120" i="10"/>
  <c r="F163" i="10"/>
  <c r="F162" i="10"/>
  <c r="F161" i="10"/>
  <c r="F160" i="10"/>
  <c r="H87" i="10"/>
  <c r="H81" i="10"/>
  <c r="I81" i="10" s="1"/>
  <c r="H75" i="10"/>
  <c r="H67" i="10"/>
  <c r="H66" i="10"/>
  <c r="I66" i="10" s="1"/>
  <c r="J68" i="10" s="1"/>
  <c r="I71" i="10"/>
  <c r="B147" i="10"/>
  <c r="F122" i="10"/>
  <c r="H95" i="10"/>
  <c r="I95" i="10" s="1"/>
  <c r="H94" i="10"/>
  <c r="H93" i="10"/>
  <c r="I93" i="10" s="1"/>
  <c r="C94" i="10"/>
  <c r="C95" i="10"/>
  <c r="C93" i="10"/>
  <c r="C90" i="10"/>
  <c r="C89" i="10"/>
  <c r="C88" i="10"/>
  <c r="C87" i="10"/>
  <c r="C81" i="10"/>
  <c r="C67" i="10"/>
  <c r="C66" i="10"/>
  <c r="B57" i="8"/>
  <c r="C58" i="10"/>
  <c r="H88" i="10"/>
  <c r="H90" i="10"/>
  <c r="F117" i="10"/>
  <c r="F113" i="10"/>
  <c r="F111" i="10"/>
  <c r="F94" i="10"/>
  <c r="F93" i="10"/>
  <c r="F75" i="10"/>
  <c r="F81" i="10"/>
  <c r="F87" i="10"/>
  <c r="F88" i="10"/>
  <c r="F90" i="10"/>
  <c r="F92" i="10"/>
  <c r="H57" i="10"/>
  <c r="C57" i="10"/>
  <c r="I152" i="10"/>
  <c r="I153" i="10"/>
  <c r="I155" i="10"/>
  <c r="I156" i="10"/>
  <c r="I123" i="10"/>
  <c r="I135" i="8"/>
  <c r="I131" i="8"/>
  <c r="I48" i="8"/>
  <c r="I49" i="8"/>
  <c r="I52" i="8"/>
  <c r="F105" i="10"/>
  <c r="F106" i="10"/>
  <c r="F107" i="10"/>
  <c r="F149" i="10"/>
  <c r="F150" i="10"/>
  <c r="F108" i="10"/>
  <c r="F121" i="10"/>
  <c r="F135" i="10"/>
  <c r="F151" i="10"/>
  <c r="F152" i="10"/>
  <c r="F153" i="10"/>
  <c r="F154" i="10"/>
  <c r="F155" i="10"/>
  <c r="F156" i="10"/>
  <c r="F157" i="10"/>
  <c r="F55" i="10"/>
  <c r="F56" i="10"/>
  <c r="F57" i="10"/>
  <c r="F62" i="10"/>
  <c r="F63" i="10"/>
  <c r="F67" i="10"/>
  <c r="F158" i="10"/>
  <c r="F159" i="10"/>
  <c r="I132" i="8"/>
  <c r="I133" i="8"/>
  <c r="I134" i="8"/>
  <c r="I53" i="8"/>
  <c r="I54" i="8"/>
  <c r="H57" i="8" s="1"/>
  <c r="I50" i="8"/>
  <c r="I51" i="8"/>
  <c r="K106" i="8" l="1"/>
  <c r="F97" i="10"/>
  <c r="F32" i="8"/>
  <c r="B21" i="8"/>
  <c r="F21" i="8" s="1"/>
  <c r="F32" i="10" s="1"/>
  <c r="F40" i="10"/>
  <c r="B30" i="8"/>
  <c r="F30" i="8" s="1"/>
  <c r="F41" i="10" s="1"/>
  <c r="F98" i="10"/>
  <c r="F28" i="10"/>
  <c r="F96" i="10"/>
  <c r="H89" i="10"/>
  <c r="B35" i="8"/>
  <c r="F35" i="8" s="1"/>
  <c r="K136" i="8"/>
  <c r="B16" i="8"/>
  <c r="F16" i="8" s="1"/>
  <c r="K121" i="10"/>
  <c r="E51" i="10"/>
  <c r="D43" i="10"/>
  <c r="E39" i="10"/>
  <c r="F37" i="10"/>
  <c r="F30" i="10"/>
  <c r="E98" i="10"/>
  <c r="E49" i="10"/>
  <c r="E41" i="10"/>
  <c r="F39" i="10"/>
  <c r="F36" i="10"/>
  <c r="E35" i="10"/>
  <c r="F29" i="10"/>
  <c r="E27" i="10"/>
  <c r="E44" i="10"/>
  <c r="F31" i="10"/>
  <c r="E96" i="10"/>
  <c r="E36" i="10"/>
  <c r="F34" i="10"/>
  <c r="E97" i="10"/>
  <c r="E28" i="10"/>
  <c r="F51" i="10"/>
  <c r="E32" i="8"/>
  <c r="E38" i="10"/>
  <c r="F35" i="10"/>
  <c r="E34" i="10"/>
  <c r="E32" i="10"/>
  <c r="H70" i="10"/>
  <c r="I70" i="10" s="1"/>
  <c r="I57" i="8"/>
  <c r="B58" i="8" s="1"/>
  <c r="I58" i="8" s="1"/>
  <c r="K157" i="10"/>
  <c r="G68" i="10"/>
  <c r="J87" i="8"/>
  <c r="J55" i="8"/>
  <c r="G121" i="10"/>
  <c r="G135" i="10"/>
  <c r="G55" i="8"/>
  <c r="G29" i="8"/>
  <c r="F38" i="10"/>
  <c r="J105" i="10"/>
  <c r="K135" i="10"/>
  <c r="I72" i="10"/>
  <c r="F22" i="8"/>
  <c r="B39" i="8"/>
  <c r="F39" i="8" s="1"/>
  <c r="F45" i="10"/>
  <c r="F44" i="10"/>
  <c r="B46" i="10"/>
  <c r="B33" i="10"/>
  <c r="B13" i="10"/>
  <c r="B11" i="10"/>
  <c r="B45" i="10"/>
  <c r="G105" i="10" l="1"/>
  <c r="B44" i="10"/>
  <c r="F11" i="10"/>
  <c r="B38" i="8"/>
  <c r="F38" i="8" s="1"/>
  <c r="G41" i="8" s="1"/>
  <c r="B31" i="8"/>
  <c r="F31" i="8" s="1"/>
  <c r="G36" i="8" s="1"/>
  <c r="F43" i="10"/>
  <c r="G26" i="8"/>
  <c r="F46" i="10"/>
  <c r="G20" i="8"/>
  <c r="J59" i="8"/>
  <c r="E45" i="8"/>
  <c r="F27" i="10"/>
  <c r="G31" i="10" s="1"/>
  <c r="G40" i="10"/>
  <c r="E43" i="10"/>
  <c r="J73" i="10"/>
  <c r="F50" i="10"/>
  <c r="F33" i="10"/>
  <c r="B50" i="10"/>
  <c r="B32" i="10"/>
  <c r="B49" i="10" s="1"/>
  <c r="B41" i="10"/>
  <c r="B42" i="10" s="1"/>
  <c r="F49" i="10" l="1"/>
  <c r="F45" i="8"/>
  <c r="F42" i="10"/>
  <c r="G37" i="10"/>
  <c r="G138" i="8" l="1"/>
  <c r="G44" i="8"/>
  <c r="G45" i="8" s="1"/>
  <c r="G47" i="10"/>
  <c r="K88" i="8"/>
  <c r="K138" i="8" s="1"/>
  <c r="K141" i="8" l="1"/>
  <c r="K147" i="8" s="1"/>
  <c r="K8" i="8"/>
  <c r="J54" i="10" l="1"/>
  <c r="K106" i="10"/>
  <c r="K159" i="10"/>
  <c r="K162" i="10" s="1"/>
  <c r="K168" i="10" s="1"/>
  <c r="J9" i="10" s="1"/>
  <c r="G159" i="10"/>
</calcChain>
</file>

<file path=xl/sharedStrings.xml><?xml version="1.0" encoding="utf-8"?>
<sst xmlns="http://schemas.openxmlformats.org/spreadsheetml/2006/main" count="436" uniqueCount="244">
  <si>
    <t>Stud Kit</t>
  </si>
  <si>
    <t>Spacer and bolt kit</t>
  </si>
  <si>
    <t>Wiring Harness</t>
  </si>
  <si>
    <t>Flywheel Kit</t>
  </si>
  <si>
    <t>Fuel Line - filter to Injection</t>
  </si>
  <si>
    <t>Modified Sheet Metal</t>
  </si>
  <si>
    <t>Modified Cross Member</t>
  </si>
  <si>
    <t>Throttle Cable</t>
  </si>
  <si>
    <t>9 FW bolts</t>
  </si>
  <si>
    <t>1 pilot bearing</t>
  </si>
  <si>
    <t>DME Relay</t>
  </si>
  <si>
    <t>Fuel System</t>
  </si>
  <si>
    <t>9 Clutch Bolts/Lockwashers</t>
  </si>
  <si>
    <t>373 West Chestnut Hill Road</t>
  </si>
  <si>
    <t>Flywheel for 3.6 conversion - 915</t>
  </si>
  <si>
    <t>Single Pulley Alternator Conversion</t>
  </si>
  <si>
    <t>Fuel Line - to filter Inlet -w- barb connector  (Early cars only)</t>
  </si>
  <si>
    <t>993 Coil Braket - Welded Option</t>
  </si>
  <si>
    <t xml:space="preserve">New Bosch Motronic Fuel Pump Early car </t>
  </si>
  <si>
    <t>Call Ahead Surcharge</t>
  </si>
  <si>
    <t>Liftgate Surcharge</t>
  </si>
  <si>
    <t>Shipping</t>
  </si>
  <si>
    <t>Option Pack Discounts</t>
  </si>
  <si>
    <t>Popular Options</t>
  </si>
  <si>
    <t>More Options</t>
  </si>
  <si>
    <t>Engines</t>
  </si>
  <si>
    <t>Exhausts</t>
  </si>
  <si>
    <t>993 K&amp;N Filter (Specify if VRAM Temp Hole)</t>
  </si>
  <si>
    <t>Total Conversion Kit and Options</t>
  </si>
  <si>
    <t>Engine Cost</t>
  </si>
  <si>
    <t>Exhaust Cost</t>
  </si>
  <si>
    <t>Conversion Kit Cost</t>
  </si>
  <si>
    <t>Purchace Chips with kit</t>
  </si>
  <si>
    <t>Instant-G</t>
  </si>
  <si>
    <t>Porsche Performance Specialists</t>
  </si>
  <si>
    <t>911 3.6 and Boxster 3.4 Conversions</t>
  </si>
  <si>
    <t>Newark DE 19713</t>
  </si>
  <si>
    <t>(302)559-5905</t>
  </si>
  <si>
    <r>
      <t>E-mail:</t>
    </r>
    <r>
      <rPr>
        <sz val="12"/>
        <rFont val="Times New Roman"/>
        <family val="1"/>
      </rPr>
      <t xml:space="preserve"> </t>
    </r>
    <r>
      <rPr>
        <b/>
        <sz val="12"/>
        <color indexed="18"/>
        <rFont val="Times New Roman"/>
        <family val="1"/>
      </rPr>
      <t>timmins@instant-g.com</t>
    </r>
    <r>
      <rPr>
        <b/>
        <sz val="12"/>
        <rFont val="Times New Roman"/>
        <family val="1"/>
      </rPr>
      <t xml:space="preserve"> </t>
    </r>
  </si>
  <si>
    <t>www.instant-g.com</t>
  </si>
  <si>
    <t>964 based 3.6 Conversion Estimator</t>
  </si>
  <si>
    <t>Customer Added Options</t>
  </si>
  <si>
    <t>Distributor Breather Hose Kit</t>
  </si>
  <si>
    <t>Kit Shipping -  by quote</t>
  </si>
  <si>
    <t>Total Shipping</t>
  </si>
  <si>
    <t>Purchace Chips with Engine</t>
  </si>
  <si>
    <t>Phone</t>
  </si>
  <si>
    <t>email</t>
  </si>
  <si>
    <t>Address - Street</t>
  </si>
  <si>
    <t>City/State/Zip</t>
  </si>
  <si>
    <t>Oil Cooling</t>
  </si>
  <si>
    <t>Engine Shipping -  by quote</t>
  </si>
  <si>
    <t>Includes Engine to DME wiring harness</t>
  </si>
  <si>
    <t>Includes DME</t>
  </si>
  <si>
    <t>Includes Engine to DME wiring Harness</t>
  </si>
  <si>
    <t>Residential Surcharge</t>
  </si>
  <si>
    <t>Engine Shipping - by quote</t>
  </si>
  <si>
    <t>Oil Cooling Cost</t>
  </si>
  <si>
    <t xml:space="preserve">IG Stainless Exhaust, 1-3/4" headers -w- heat and muffler </t>
  </si>
  <si>
    <t>IG Headers, 304 Stainless, 1-3/4" primary, 2.5" out, no heat</t>
  </si>
  <si>
    <t>Happy Crab II Muffler, includes resonator tips</t>
  </si>
  <si>
    <t xml:space="preserve">     Upgrade IG from 1-3/4" to 1-7/8" Primary Tubing  </t>
  </si>
  <si>
    <t xml:space="preserve">     Add Stainless Resonator Tips to IG Stainless Exhaust</t>
  </si>
  <si>
    <t xml:space="preserve">     Add Catalysts to IG Exhaust, 200 cell</t>
  </si>
  <si>
    <t xml:space="preserve">     Add Catalyst plus cat bypass tube to IG Exhaust, 200 cell</t>
  </si>
  <si>
    <t>993 Popular Options Discount</t>
  </si>
  <si>
    <t>RS Crab - 993 Heater Ducting Assembly, cap hoses and adapters</t>
  </si>
  <si>
    <t>OBD Connector on 993 harness</t>
  </si>
  <si>
    <t>964 Wiring harness with DME relay connector</t>
  </si>
  <si>
    <r>
      <t xml:space="preserve">Flywheel for 3.6 conversion - G50 </t>
    </r>
    <r>
      <rPr>
        <b/>
        <sz val="10"/>
        <rFont val="Arial"/>
        <family val="2"/>
      </rPr>
      <t>with sensor pickup</t>
    </r>
    <r>
      <rPr>
        <sz val="10"/>
        <rFont val="Arial"/>
        <family val="2"/>
      </rPr>
      <t xml:space="preserve"> (Adds $200, with or without RS clutch kit)</t>
    </r>
  </si>
  <si>
    <t>915 Throttle cable assembly, with adjustable guide</t>
  </si>
  <si>
    <t>G50 Throttle cable assembly, with adjustable guide</t>
  </si>
  <si>
    <t>964 Oil Feed Line, stainless steel</t>
  </si>
  <si>
    <t>Oil Lines</t>
  </si>
  <si>
    <t>Factory Scavenge Oil SSI Line 2 (J)         "?"  to thermostat</t>
  </si>
  <si>
    <t>Factory Scavenge Oil SSI Line 1 (?)       Engine Case to "J" Line</t>
  </si>
  <si>
    <t>Sheetmetal Modification (No cost option -w- kit)</t>
  </si>
  <si>
    <t>Crossmember reshaped, reinforced, strengthened (supply core)</t>
  </si>
  <si>
    <t>Belcrank - Modified (supply core, no cost option -w- kit)</t>
  </si>
  <si>
    <t>Early Car Fuel Line Kit, 22' braided AN hose, 1 banjo -w- nut and crush rings, 3-16mm ball, 1-14mm ball 1-14bAN6+AN6-90, NET UPGRADE- Uses early SC filter</t>
  </si>
  <si>
    <t>915 Starter Ring Gear</t>
  </si>
  <si>
    <t>Replacement Factory Fan Belt</t>
  </si>
  <si>
    <t xml:space="preserve">Gates "Green Stripe" / Napa XL extreme duty belt - reccomended </t>
  </si>
  <si>
    <t>Oxygen Sensor - 964 Bosch 3 wire</t>
  </si>
  <si>
    <t>Heater hoses, clamps and adapters for 993 Header</t>
  </si>
  <si>
    <t>993 System, Rotated Flanges Complete -w- Happy Crab II                                                                             (heater plumbing additional)</t>
  </si>
  <si>
    <t>Happy Crab RS outlet option, 69-73 cars</t>
  </si>
  <si>
    <t>PS Blockoff Includes 993 sheetmetal blockoff template</t>
  </si>
  <si>
    <t>Modify AC Bracket (No cost option with popular options)</t>
  </si>
  <si>
    <t>Oxegen Sensor - 993 4 wire (Specify before/after cat)</t>
  </si>
  <si>
    <t>95/Euro Includes Ignition Ignitor</t>
  </si>
  <si>
    <t>Includes Coil packs with coil wires, brackets and ignitors</t>
  </si>
  <si>
    <t>G50 Cup RS Sachs Clutch Kit for 87-89 upgrade</t>
  </si>
  <si>
    <t>CF Heater Tube</t>
  </si>
  <si>
    <t>Paypal Fee 3%</t>
  </si>
  <si>
    <t>Total</t>
  </si>
  <si>
    <t>Payments Received</t>
  </si>
  <si>
    <t>Balance Due</t>
  </si>
  <si>
    <t>1984-86</t>
  </si>
  <si>
    <t>1987-1989</t>
  </si>
  <si>
    <t>Pre 1973</t>
  </si>
  <si>
    <t>3 short studs, 4 10mm nuts, 4 10mm washers</t>
  </si>
  <si>
    <t>2 fabricated spacers, 2 washers, 2 5.5" bolts, 2 nuts</t>
  </si>
  <si>
    <t>IG Stainless Exhaust, RS for up to 73</t>
  </si>
  <si>
    <t>993 Oil Feed Line, stainless steel</t>
  </si>
  <si>
    <t>993 Wiring harness with DME relay connector</t>
  </si>
  <si>
    <t>Basic Conversion Kit</t>
  </si>
  <si>
    <t>993 Based 3.6 Conversion Estimator</t>
  </si>
  <si>
    <t>Fuel Line - Return Carrera 84-89</t>
  </si>
  <si>
    <t>Fuel Line - Return CIS 73-83</t>
  </si>
  <si>
    <t>Fuel Line - Return (to barb connector) -72</t>
  </si>
  <si>
    <t>"S" Hose - tank to feed line - NOTE Used not reccomended!</t>
  </si>
  <si>
    <t>915 PowerPack Clutch Kit ($800+ elsewhere)</t>
  </si>
  <si>
    <t>Shroud Blockoff kit ($15 with popular options)</t>
  </si>
  <si>
    <t>*964 Popular Options Discount</t>
  </si>
  <si>
    <t>PS Blockoff ($10 off with popular options)*</t>
  </si>
  <si>
    <t>964 Cyntex Chips -w- Flywheel Stabiliation ($50 off with kit)*</t>
  </si>
  <si>
    <t>Evo Motorsports Fresh Air Filter 964 ($15 off with popular options)*</t>
  </si>
  <si>
    <t>993 EuroVRAM Chips -w- FW mod ($100 off with popular opts)*</t>
  </si>
  <si>
    <t>993 95 Cyntex Chips -w- FW mod  ($100 off with popular opts)*</t>
  </si>
  <si>
    <t>Replacement Shroud Cap 964 (required for CF tube)</t>
  </si>
  <si>
    <t>Customer Options</t>
  </si>
  <si>
    <t>Heater Distrbution for 993 Headers - under sheetmetal</t>
  </si>
  <si>
    <t>993 US VRAM DME Reprogramming-Stock Tune</t>
  </si>
  <si>
    <t/>
  </si>
  <si>
    <t>included</t>
  </si>
  <si>
    <t>Era</t>
  </si>
  <si>
    <t>KL21 Carrera 84-89</t>
  </si>
  <si>
    <t>1973-83</t>
  </si>
  <si>
    <t>Fuel Filter Early and SC through 1983</t>
  </si>
  <si>
    <t>G50 Starter Ring Gear</t>
  </si>
  <si>
    <t>993 Coil Braket - Bolt On Option</t>
  </si>
  <si>
    <r>
      <t>E-mail:</t>
    </r>
    <r>
      <rPr>
        <sz val="12"/>
        <rFont val="Arial"/>
        <family val="1"/>
      </rPr>
      <t xml:space="preserve"> </t>
    </r>
    <r>
      <rPr>
        <b/>
        <sz val="12"/>
        <color indexed="18"/>
        <rFont val="Arial"/>
        <family val="1"/>
      </rPr>
      <t>timmins@instant-g.com</t>
    </r>
    <r>
      <rPr>
        <b/>
        <sz val="12"/>
        <rFont val="Arial"/>
        <family val="1"/>
      </rPr>
      <t xml:space="preserve"> </t>
    </r>
  </si>
  <si>
    <t>Dual 993 Vaccum Canisters with mount- Required with Vram</t>
  </si>
  <si>
    <t>Decklid Hinge Modification clear heater blower motor (supply core)</t>
  </si>
  <si>
    <t>Replacement Shroud Cap 993 95-late vram</t>
  </si>
  <si>
    <t>Replacement Shroud Cap 964 95 early (required for CF tube)</t>
  </si>
  <si>
    <t>Secondary Air System Cam Twoer Plugs (2)</t>
  </si>
  <si>
    <t xml:space="preserve">Dual 44 Row Fender Kit S/SC Upgrade coolers,fittings, clamps, oill cooler brackets (uses existing hard lines) </t>
  </si>
  <si>
    <t>Name</t>
  </si>
  <si>
    <t>Oil Breatther Line - Intake boot to oil filler neck on tank</t>
  </si>
  <si>
    <t>Oil Breatherr Line - Oil Console on engine to lower oil tank</t>
  </si>
  <si>
    <t>Oil breather dual coupler kit with 8 euro clamps</t>
  </si>
  <si>
    <t>Engine 95 993,  USED 45K miles install all accessories and test</t>
  </si>
  <si>
    <t>Engines                USED</t>
  </si>
  <si>
    <t>USED</t>
  </si>
  <si>
    <t>TOP END</t>
  </si>
  <si>
    <t>COMPLETE REBUILD</t>
  </si>
  <si>
    <r>
      <t>Engine 96 993,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Euro DME and harness</t>
    </r>
    <r>
      <rPr>
        <sz val="10"/>
        <rFont val="Arial"/>
        <family val="2"/>
      </rPr>
      <t xml:space="preserve"> OBD-I 70K miles</t>
    </r>
  </si>
  <si>
    <t>Engine 95 993, 95 DME, fresh top end with valve guides, through bolt seals, etc.. harness install all accessories and test</t>
  </si>
  <si>
    <r>
      <t xml:space="preserve">Engine </t>
    </r>
    <r>
      <rPr>
        <b/>
        <sz val="10"/>
        <rFont val="Arial"/>
        <family val="2"/>
      </rPr>
      <t>VRAM, 95-98 Euro DME/harness</t>
    </r>
    <r>
      <rPr>
        <sz val="10"/>
        <rFont val="Arial"/>
        <family val="2"/>
      </rPr>
      <t>, VRam Spec Valves/Heads, Compete rebuild with valve guides, etc.. replace all bearings, seals, etc. install all accessories/test</t>
    </r>
  </si>
  <si>
    <r>
      <t xml:space="preserve">Engine 95-98 993  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 xml:space="preserve"> Spec fresh top end with valve guides, through bolt seals, etc. </t>
    </r>
    <r>
      <rPr>
        <b/>
        <sz val="10"/>
        <rFont val="Arial"/>
        <family val="2"/>
      </rPr>
      <t xml:space="preserve">Euro DME/harness </t>
    </r>
    <r>
      <rPr>
        <sz val="10"/>
        <rFont val="Arial"/>
        <family val="2"/>
      </rPr>
      <t>install all accessories/test</t>
    </r>
  </si>
  <si>
    <r>
      <t xml:space="preserve">Engine </t>
    </r>
    <r>
      <rPr>
        <b/>
        <sz val="10"/>
        <rFont val="Arial"/>
        <family val="2"/>
      </rPr>
      <t>95 993</t>
    </r>
    <r>
      <rPr>
        <sz val="10"/>
        <rFont val="Arial"/>
        <family val="2"/>
      </rPr>
      <t xml:space="preserve">, 95 DME, Compete rebuild with valve guides. replace all bearings, seals, etc. install all accessories and test.  </t>
    </r>
    <r>
      <rPr>
        <b/>
        <sz val="10"/>
        <rFont val="Arial"/>
        <family val="2"/>
      </rPr>
      <t>Add $500 to update to VRam intake and exhaust valves</t>
    </r>
    <r>
      <rPr>
        <sz val="10"/>
        <rFont val="Arial"/>
        <family val="2"/>
      </rPr>
      <t>.</t>
    </r>
  </si>
  <si>
    <t>Upgrade to full kit, rocker lines, thermostat, oil tank line, scavenge line and adel clamps</t>
  </si>
  <si>
    <t>993 Passenger Fender mount kit with fan - for SC/Carrera</t>
  </si>
  <si>
    <t>Add On kits use existing thermostat and rocker lines.</t>
  </si>
  <si>
    <t>Add on 44 Row 2nd cooler kit for Driver's Fender mount - complete 13' hose</t>
  </si>
  <si>
    <t>Upgrades</t>
  </si>
  <si>
    <t>Cooling fan kit for 44 row or carrera cooler (specify) includes fan, custom bracket, relay assembly thermostat and thermostat housing.</t>
  </si>
  <si>
    <t xml:space="preserve">     Rotate Flanges 993 Headers for 964 application</t>
  </si>
  <si>
    <t xml:space="preserve">     RS Crab - 993 Heater Ducting Assembly, cap hoses and adapters</t>
  </si>
  <si>
    <t>Chassis</t>
  </si>
  <si>
    <t>Engine</t>
  </si>
  <si>
    <t>1995 Non Varioram</t>
  </si>
  <si>
    <t>1995 With Vram Conversion</t>
  </si>
  <si>
    <t>1995-1998 Varioram Euro Spec</t>
  </si>
  <si>
    <t>1996-1998 Varioram US Spec</t>
  </si>
  <si>
    <t xml:space="preserve"> </t>
  </si>
  <si>
    <t>Customer Supplied</t>
  </si>
  <si>
    <t xml:space="preserve">Used Tested </t>
  </si>
  <si>
    <t>Top End</t>
  </si>
  <si>
    <t>Full Rebuild</t>
  </si>
  <si>
    <t>Condition</t>
  </si>
  <si>
    <t>Trans</t>
  </si>
  <si>
    <t>95</t>
  </si>
  <si>
    <t>95V</t>
  </si>
  <si>
    <t>VRUS</t>
  </si>
  <si>
    <t>CUST</t>
  </si>
  <si>
    <t>FULL</t>
  </si>
  <si>
    <t>TOP</t>
  </si>
  <si>
    <t>Engine Condition</t>
  </si>
  <si>
    <t>VREURO</t>
  </si>
  <si>
    <r>
      <t>Engine</t>
    </r>
    <r>
      <rPr>
        <b/>
        <sz val="10"/>
        <rFont val="Arial"/>
        <family val="2"/>
      </rPr>
      <t xml:space="preserve"> VRAM </t>
    </r>
    <r>
      <rPr>
        <sz val="10"/>
        <rFont val="Arial"/>
        <family val="2"/>
      </rPr>
      <t xml:space="preserve">96-98 993, </t>
    </r>
    <r>
      <rPr>
        <b/>
        <sz val="10"/>
        <rFont val="Arial"/>
        <family val="2"/>
      </rPr>
      <t>US DME</t>
    </r>
    <r>
      <rPr>
        <sz val="10"/>
        <rFont val="Arial"/>
        <family val="2"/>
      </rPr>
      <t xml:space="preserve"> Fresh top end, with valve guides, through bolt seals, install accessories/ test, Includes 97-98 DME</t>
    </r>
  </si>
  <si>
    <r>
      <t xml:space="preserve">Engine </t>
    </r>
    <r>
      <rPr>
        <b/>
        <sz val="10"/>
        <rFont val="Arial"/>
        <family val="2"/>
      </rPr>
      <t>VRAM, 97-98 US DME/harness</t>
    </r>
    <r>
      <rPr>
        <sz val="10"/>
        <rFont val="Arial"/>
        <family val="2"/>
      </rPr>
      <t>, VRam Spec Valves/Heads, Compete rebuild with valve guides, etc.. replace all bearings, seals, etc. install all accessories/test</t>
    </r>
  </si>
  <si>
    <t>60/70 Row Nose Mountl Kit  Replaces SC Trombone</t>
  </si>
  <si>
    <t>60-70 Row Mocal Nose Mount Kit -Nose  retains fender mount carrera cooler</t>
  </si>
  <si>
    <t>Quantity In Set</t>
  </si>
  <si>
    <t>Retail - PRICE FOR SET</t>
  </si>
  <si>
    <t>Item</t>
  </si>
  <si>
    <t>Blast</t>
  </si>
  <si>
    <t>Cerakoat</t>
  </si>
  <si>
    <t>Clear 2nd Stage</t>
  </si>
  <si>
    <t>Engine Crossmember</t>
  </si>
  <si>
    <t>Cylinder Air Deflectors</t>
  </si>
  <si>
    <t>Cam boxes and covers</t>
  </si>
  <si>
    <t>Valve Covers 911/964</t>
  </si>
  <si>
    <t>Fan Ring</t>
  </si>
  <si>
    <t>Transmission Complete - Air Dry Coat</t>
  </si>
  <si>
    <t>Crank Pulley</t>
  </si>
  <si>
    <t>1990-94 Engine with complete rebuild, ramps, etc. plus updates, plastic intake, head gasket update, bearings etc.</t>
  </si>
  <si>
    <t>1990-94 Engine with top end rebuild, ramps, etc. plus updates, plastic intake, late cylinders, bearings etc.</t>
  </si>
  <si>
    <t xml:space="preserve">     Add Upgrade IG from 1-3/4" to 1-7/8" Primary Tubing  </t>
  </si>
  <si>
    <t xml:space="preserve">     Add for RS for up to 73</t>
  </si>
  <si>
    <t>Ala Carte 3.6 Conversion Estimator</t>
  </si>
  <si>
    <t>Incl</t>
  </si>
  <si>
    <t>Oil Feed Line</t>
  </si>
  <si>
    <t>993 US VRAM DME Reprogramming-Euro Performance</t>
  </si>
  <si>
    <t>Total Popular Options</t>
  </si>
  <si>
    <t>Spintech 2.5" Stainless Mufflers for Headers, bracket, clamps, etc.</t>
  </si>
  <si>
    <t>5" Supertrapp 2.5" Stainless Mufflers for Headers, bracket, etc. etc.</t>
  </si>
  <si>
    <t>CoastFab 2.5" Stainless Mufflers for Headers, bracket, clamps, etc.</t>
  </si>
  <si>
    <t xml:space="preserve">     Add IG Stainless Exhaust, RS for up to 73</t>
  </si>
  <si>
    <t>Complete 993 System for cars through 1994</t>
  </si>
  <si>
    <r>
      <t xml:space="preserve">Engine 993 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>, 1996 USED 70k miles install all accessories/test, with 1997-98 DME</t>
    </r>
  </si>
  <si>
    <t>993 VRam vacuum line set with check valve</t>
  </si>
  <si>
    <t>Dual 993 Vaccum Canisters with mount- Required with VRam</t>
  </si>
  <si>
    <t xml:space="preserve">Dual OEM (Modie or L&amp;R)  Carrera Fender Kit S/SC Upgrade coolers,fittings, clamps, brackets (uses existing hard lines) </t>
  </si>
  <si>
    <t xml:space="preserve">Dual Aftermarket/Asian Carrera Fender Kit S/SC Upgrade coolers,fittings, clamps, brackets (uses existing hard lines) </t>
  </si>
  <si>
    <t>Add on Aftermarket Carrera Radiator for 2nd cooler Driver's Fender complete with lines and adapters</t>
  </si>
  <si>
    <t>Add on OEM (L&amp;R) Carrera Radiator for 2nd cooler Driver's Fender complete with lines and adapters</t>
  </si>
  <si>
    <t xml:space="preserve">Dual Extra Duty CSF Carrera Fender Kit S/SC Upgrade coolers,fittings, clamps, brackets (uses existing hard lines) </t>
  </si>
  <si>
    <t>SOLD  1992-94 Engine88K miles, tested and leak free, late cylinders with head gaskets, tested on the road with all accessorieschosen above installed</t>
  </si>
  <si>
    <t>Fan Pulley Pair (3 hole)</t>
  </si>
  <si>
    <t>AC Compressor NEW*</t>
  </si>
  <si>
    <t>964/93/0911Sheetmetal Set*</t>
  </si>
  <si>
    <t>* Air compressor cannot be powder coated due to the temperatures involved. Choices are Cerakote or 2K paint.  Air compressor includes line adapter as needed.</t>
  </si>
  <si>
    <t>** Similar pricing for 2K paint.</t>
  </si>
  <si>
    <t>Single Stage**</t>
  </si>
  <si>
    <t>Fan Blades</t>
  </si>
  <si>
    <t>Fan Clamps 993/964</t>
  </si>
  <si>
    <t>Fuel Line - Return -83</t>
  </si>
  <si>
    <t>Fuel Line - Return 84+</t>
  </si>
  <si>
    <t>Upcharge 993 Wiring Harness</t>
  </si>
  <si>
    <t>Upcharge 993 Oil Feed Line, stainless steel</t>
  </si>
  <si>
    <t>Upocharge Flywheel for 3.6 conversion - G50 with sensor pickup (Adds $200, with or without RS clutch kit)</t>
  </si>
  <si>
    <t>Add for 993</t>
  </si>
  <si>
    <t>Add for G50</t>
  </si>
  <si>
    <t>964/993 RS ABS Factory Heater Tube</t>
  </si>
  <si>
    <t>Replacement Shroud Cap 964 (required for RS tube)</t>
  </si>
  <si>
    <t>964 Engine</t>
  </si>
  <si>
    <t>993 Engine</t>
  </si>
  <si>
    <t>Total More Options</t>
  </si>
  <si>
    <t>Varioram - Includes Dssasembly/Reassembly</t>
  </si>
  <si>
    <t>AC Console FULL or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</si>
</sst>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2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indexed="21"/>
      <name val="Tahoma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1"/>
    </font>
    <font>
      <b/>
      <sz val="12"/>
      <color indexed="18"/>
      <name val="Arial"/>
      <family val="1"/>
    </font>
    <font>
      <b/>
      <sz val="12"/>
      <name val="Arial"/>
      <family val="1"/>
    </font>
    <font>
      <b/>
      <sz val="12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14" applyNumberFormat="0" applyAlignment="0" applyProtection="0"/>
    <xf numFmtId="0" fontId="22" fillId="31" borderId="15" applyNumberFormat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14" applyNumberFormat="0" applyAlignment="0" applyProtection="0"/>
    <xf numFmtId="0" fontId="29" fillId="0" borderId="19" applyNumberFormat="0" applyFill="0" applyAlignment="0" applyProtection="0"/>
    <xf numFmtId="0" fontId="30" fillId="37" borderId="0" applyNumberFormat="0" applyBorder="0" applyAlignment="0" applyProtection="0"/>
    <xf numFmtId="0" fontId="8" fillId="0" borderId="0"/>
    <xf numFmtId="0" fontId="15" fillId="38" borderId="20" applyNumberFormat="0" applyFont="0" applyAlignment="0" applyProtection="0"/>
    <xf numFmtId="0" fontId="31" fillId="30" borderId="21" applyNumberFormat="0" applyAlignment="0" applyProtection="0"/>
    <xf numFmtId="0" fontId="3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3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3" fillId="0" borderId="0"/>
  </cellStyleXfs>
  <cellXfs count="224">
    <xf numFmtId="0" fontId="0" fillId="0" borderId="0" xfId="0"/>
    <xf numFmtId="0" fontId="0" fillId="0" borderId="1" xfId="0" applyBorder="1"/>
    <xf numFmtId="0" fontId="8" fillId="0" borderId="0" xfId="0" applyFont="1"/>
    <xf numFmtId="0" fontId="0" fillId="3" borderId="0" xfId="0" applyFill="1"/>
    <xf numFmtId="0" fontId="0" fillId="3" borderId="2" xfId="0" applyFill="1" applyBorder="1"/>
    <xf numFmtId="164" fontId="7" fillId="0" borderId="0" xfId="28" applyNumberFormat="1" applyFont="1"/>
    <xf numFmtId="164" fontId="8" fillId="0" borderId="0" xfId="28" applyNumberFormat="1" applyFont="1" applyFill="1"/>
    <xf numFmtId="164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64" fontId="5" fillId="0" borderId="0" xfId="28" applyNumberFormat="1"/>
    <xf numFmtId="164" fontId="5" fillId="0" borderId="0" xfId="28" applyNumberFormat="1" applyBorder="1"/>
    <xf numFmtId="164" fontId="5" fillId="0" borderId="0" xfId="28" applyNumberFormat="1" applyFill="1"/>
    <xf numFmtId="164" fontId="5" fillId="0" borderId="1" xfId="28" applyNumberFormat="1" applyBorder="1"/>
    <xf numFmtId="164" fontId="5" fillId="0" borderId="1" xfId="28" applyNumberFormat="1" applyFill="1" applyBorder="1"/>
    <xf numFmtId="164" fontId="8" fillId="0" borderId="0" xfId="0" applyNumberFormat="1" applyFont="1"/>
    <xf numFmtId="164" fontId="5" fillId="0" borderId="0" xfId="28" applyNumberFormat="1" applyFill="1" applyBorder="1"/>
    <xf numFmtId="0" fontId="0" fillId="3" borderId="3" xfId="0" applyFill="1" applyBorder="1"/>
    <xf numFmtId="0" fontId="0" fillId="0" borderId="3" xfId="0" applyBorder="1" applyAlignment="1">
      <alignment wrapText="1"/>
    </xf>
    <xf numFmtId="0" fontId="0" fillId="0" borderId="3" xfId="0" applyBorder="1"/>
    <xf numFmtId="164" fontId="5" fillId="0" borderId="3" xfId="28" applyNumberFormat="1" applyBorder="1"/>
    <xf numFmtId="164" fontId="8" fillId="0" borderId="4" xfId="0" applyNumberFormat="1" applyFont="1" applyBorder="1"/>
    <xf numFmtId="164" fontId="5" fillId="0" borderId="3" xfId="28" applyNumberFormat="1" applyFill="1" applyBorder="1"/>
    <xf numFmtId="164" fontId="0" fillId="0" borderId="4" xfId="0" applyNumberFormat="1" applyBorder="1"/>
    <xf numFmtId="164" fontId="5" fillId="0" borderId="4" xfId="28" applyNumberFormat="1" applyBorder="1"/>
    <xf numFmtId="164" fontId="5" fillId="0" borderId="4" xfId="28" applyNumberFormat="1" applyFill="1" applyBorder="1"/>
    <xf numFmtId="0" fontId="8" fillId="0" borderId="3" xfId="0" applyFont="1" applyBorder="1" applyAlignment="1">
      <alignment wrapText="1"/>
    </xf>
    <xf numFmtId="0" fontId="0" fillId="4" borderId="2" xfId="0" applyFill="1" applyBorder="1" applyProtection="1">
      <protection locked="0"/>
    </xf>
    <xf numFmtId="0" fontId="0" fillId="0" borderId="2" xfId="0" applyBorder="1"/>
    <xf numFmtId="0" fontId="8" fillId="4" borderId="2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7" fillId="0" borderId="0" xfId="0" applyFont="1"/>
    <xf numFmtId="164" fontId="0" fillId="2" borderId="6" xfId="0" applyNumberForma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4" borderId="6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2" xfId="0" applyBorder="1" applyProtection="1">
      <protection locked="0"/>
    </xf>
    <xf numFmtId="164" fontId="5" fillId="0" borderId="0" xfId="28" applyNumberFormat="1" applyFill="1" applyBorder="1" applyProtection="1"/>
    <xf numFmtId="0" fontId="8" fillId="4" borderId="2" xfId="0" applyFont="1" applyFill="1" applyBorder="1" applyAlignment="1" applyProtection="1">
      <alignment wrapText="1"/>
      <protection locked="0"/>
    </xf>
    <xf numFmtId="0" fontId="8" fillId="4" borderId="6" xfId="0" applyFont="1" applyFill="1" applyBorder="1" applyProtection="1">
      <protection locked="0"/>
    </xf>
    <xf numFmtId="0" fontId="0" fillId="39" borderId="2" xfId="0" applyFill="1" applyBorder="1" applyProtection="1">
      <protection locked="0"/>
    </xf>
    <xf numFmtId="0" fontId="0" fillId="0" borderId="10" xfId="0" applyBorder="1"/>
    <xf numFmtId="0" fontId="0" fillId="39" borderId="5" xfId="0" applyFill="1" applyBorder="1"/>
    <xf numFmtId="0" fontId="0" fillId="39" borderId="11" xfId="0" applyFill="1" applyBorder="1"/>
    <xf numFmtId="0" fontId="0" fillId="39" borderId="12" xfId="0" applyFill="1" applyBorder="1"/>
    <xf numFmtId="164" fontId="0" fillId="0" borderId="2" xfId="0" applyNumberFormat="1" applyBorder="1"/>
    <xf numFmtId="0" fontId="0" fillId="4" borderId="0" xfId="0" applyFill="1" applyProtection="1">
      <protection locked="0"/>
    </xf>
    <xf numFmtId="0" fontId="7" fillId="0" borderId="0" xfId="0" applyFont="1" applyProtection="1">
      <protection locked="0"/>
    </xf>
    <xf numFmtId="0" fontId="7" fillId="0" borderId="13" xfId="0" applyFont="1" applyBorder="1"/>
    <xf numFmtId="0" fontId="7" fillId="0" borderId="13" xfId="0" applyFont="1" applyBorder="1" applyAlignment="1">
      <alignment wrapText="1"/>
    </xf>
    <xf numFmtId="0" fontId="7" fillId="0" borderId="0" xfId="0" applyFont="1" applyAlignment="1">
      <alignment horizontal="left"/>
    </xf>
    <xf numFmtId="164" fontId="16" fillId="0" borderId="1" xfId="28" applyNumberFormat="1" applyFont="1" applyFill="1" applyBorder="1"/>
    <xf numFmtId="0" fontId="8" fillId="0" borderId="0" xfId="0" quotePrefix="1" applyFont="1" applyAlignment="1">
      <alignment wrapText="1"/>
    </xf>
    <xf numFmtId="0" fontId="8" fillId="4" borderId="9" xfId="0" quotePrefix="1" applyFont="1" applyFill="1" applyBorder="1" applyProtection="1">
      <protection locked="0"/>
    </xf>
    <xf numFmtId="0" fontId="34" fillId="4" borderId="6" xfId="0" applyFont="1" applyFill="1" applyBorder="1" applyProtection="1">
      <protection locked="0"/>
    </xf>
    <xf numFmtId="0" fontId="34" fillId="3" borderId="0" xfId="0" applyFont="1" applyFill="1"/>
    <xf numFmtId="0" fontId="35" fillId="0" borderId="0" xfId="0" applyFont="1" applyAlignment="1">
      <alignment horizontal="center"/>
    </xf>
    <xf numFmtId="0" fontId="34" fillId="0" borderId="0" xfId="0" applyFont="1"/>
    <xf numFmtId="0" fontId="36" fillId="0" borderId="0" xfId="0" applyFont="1" applyAlignment="1">
      <alignment horizontal="center"/>
    </xf>
    <xf numFmtId="0" fontId="34" fillId="4" borderId="7" xfId="0" applyFont="1" applyFill="1" applyBorder="1" applyProtection="1">
      <protection locked="0"/>
    </xf>
    <xf numFmtId="0" fontId="37" fillId="0" borderId="0" xfId="0" applyFont="1" applyAlignment="1">
      <alignment horizontal="center"/>
    </xf>
    <xf numFmtId="0" fontId="34" fillId="4" borderId="9" xfId="0" applyFont="1" applyFill="1" applyBorder="1" applyProtection="1">
      <protection locked="0"/>
    </xf>
    <xf numFmtId="0" fontId="34" fillId="4" borderId="8" xfId="0" applyFont="1" applyFill="1" applyBorder="1" applyProtection="1">
      <protection locked="0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/>
    <xf numFmtId="0" fontId="34" fillId="0" borderId="0" xfId="0" applyFont="1" applyAlignment="1">
      <alignment wrapText="1"/>
    </xf>
    <xf numFmtId="0" fontId="44" fillId="0" borderId="0" xfId="0" applyFont="1"/>
    <xf numFmtId="0" fontId="34" fillId="0" borderId="2" xfId="0" applyFont="1" applyBorder="1"/>
    <xf numFmtId="0" fontId="43" fillId="40" borderId="0" xfId="0" applyFont="1" applyFill="1" applyAlignment="1">
      <alignment horizontal="left"/>
    </xf>
    <xf numFmtId="0" fontId="44" fillId="0" borderId="0" xfId="0" applyFont="1" applyAlignment="1">
      <alignment wrapText="1"/>
    </xf>
    <xf numFmtId="164" fontId="34" fillId="0" borderId="0" xfId="28" applyNumberFormat="1" applyFont="1"/>
    <xf numFmtId="0" fontId="34" fillId="0" borderId="1" xfId="0" applyFont="1" applyBorder="1"/>
    <xf numFmtId="0" fontId="34" fillId="3" borderId="2" xfId="0" applyFont="1" applyFill="1" applyBorder="1"/>
    <xf numFmtId="164" fontId="34" fillId="0" borderId="0" xfId="28" applyNumberFormat="1" applyFont="1" applyBorder="1"/>
    <xf numFmtId="164" fontId="34" fillId="0" borderId="0" xfId="28" applyNumberFormat="1" applyFont="1" applyFill="1"/>
    <xf numFmtId="0" fontId="34" fillId="4" borderId="2" xfId="0" applyFont="1" applyFill="1" applyBorder="1" applyProtection="1">
      <protection locked="0"/>
    </xf>
    <xf numFmtId="164" fontId="43" fillId="0" borderId="0" xfId="28" applyNumberFormat="1" applyFont="1"/>
    <xf numFmtId="0" fontId="43" fillId="0" borderId="13" xfId="0" applyFont="1" applyBorder="1" applyAlignment="1">
      <alignment wrapText="1"/>
    </xf>
    <xf numFmtId="0" fontId="34" fillId="3" borderId="3" xfId="0" applyFont="1" applyFill="1" applyBorder="1"/>
    <xf numFmtId="0" fontId="34" fillId="0" borderId="3" xfId="0" applyFont="1" applyBorder="1" applyAlignment="1">
      <alignment wrapText="1"/>
    </xf>
    <xf numFmtId="0" fontId="34" fillId="0" borderId="3" xfId="0" applyFont="1" applyBorder="1"/>
    <xf numFmtId="164" fontId="34" fillId="0" borderId="3" xfId="28" applyNumberFormat="1" applyFont="1" applyBorder="1"/>
    <xf numFmtId="164" fontId="34" fillId="0" borderId="4" xfId="28" applyNumberFormat="1" applyFont="1" applyBorder="1"/>
    <xf numFmtId="164" fontId="34" fillId="0" borderId="1" xfId="28" applyNumberFormat="1" applyFont="1" applyFill="1" applyBorder="1"/>
    <xf numFmtId="164" fontId="34" fillId="0" borderId="0" xfId="28" applyNumberFormat="1" applyFont="1" applyFill="1" applyBorder="1"/>
    <xf numFmtId="164" fontId="34" fillId="0" borderId="1" xfId="28" applyNumberFormat="1" applyFont="1" applyBorder="1"/>
    <xf numFmtId="164" fontId="34" fillId="0" borderId="0" xfId="0" applyNumberFormat="1" applyFont="1"/>
    <xf numFmtId="164" fontId="44" fillId="0" borderId="0" xfId="0" applyNumberFormat="1" applyFont="1"/>
    <xf numFmtId="0" fontId="34" fillId="0" borderId="2" xfId="0" applyFont="1" applyBorder="1" applyProtection="1">
      <protection locked="0"/>
    </xf>
    <xf numFmtId="0" fontId="44" fillId="4" borderId="2" xfId="0" applyFont="1" applyFill="1" applyBorder="1" applyProtection="1">
      <protection locked="0"/>
    </xf>
    <xf numFmtId="164" fontId="44" fillId="0" borderId="0" xfId="28" applyNumberFormat="1" applyFont="1" applyFill="1"/>
    <xf numFmtId="0" fontId="44" fillId="4" borderId="2" xfId="0" applyFont="1" applyFill="1" applyBorder="1" applyAlignment="1" applyProtection="1">
      <alignment wrapText="1"/>
      <protection locked="0"/>
    </xf>
    <xf numFmtId="0" fontId="34" fillId="4" borderId="0" xfId="0" applyFont="1" applyFill="1" applyProtection="1">
      <protection locked="0"/>
    </xf>
    <xf numFmtId="0" fontId="34" fillId="4" borderId="2" xfId="0" applyFont="1" applyFill="1" applyBorder="1" applyAlignment="1" applyProtection="1">
      <alignment wrapText="1"/>
      <protection locked="0"/>
    </xf>
    <xf numFmtId="0" fontId="43" fillId="0" borderId="13" xfId="0" applyFont="1" applyBorder="1"/>
    <xf numFmtId="164" fontId="44" fillId="0" borderId="4" xfId="0" applyNumberFormat="1" applyFont="1" applyBorder="1"/>
    <xf numFmtId="0" fontId="34" fillId="0" borderId="10" xfId="0" applyFont="1" applyBorder="1"/>
    <xf numFmtId="164" fontId="34" fillId="0" borderId="0" xfId="28" applyNumberFormat="1" applyFont="1" applyFill="1" applyProtection="1"/>
    <xf numFmtId="164" fontId="34" fillId="0" borderId="3" xfId="28" applyNumberFormat="1" applyFont="1" applyFill="1" applyBorder="1"/>
    <xf numFmtId="164" fontId="34" fillId="0" borderId="4" xfId="0" applyNumberFormat="1" applyFont="1" applyBorder="1"/>
    <xf numFmtId="164" fontId="43" fillId="2" borderId="6" xfId="0" applyNumberFormat="1" applyFont="1" applyFill="1" applyBorder="1"/>
    <xf numFmtId="0" fontId="34" fillId="39" borderId="5" xfId="0" applyFont="1" applyFill="1" applyBorder="1"/>
    <xf numFmtId="0" fontId="34" fillId="39" borderId="11" xfId="0" applyFont="1" applyFill="1" applyBorder="1"/>
    <xf numFmtId="0" fontId="34" fillId="39" borderId="12" xfId="0" applyFont="1" applyFill="1" applyBorder="1"/>
    <xf numFmtId="164" fontId="34" fillId="0" borderId="2" xfId="0" applyNumberFormat="1" applyFont="1" applyBorder="1"/>
    <xf numFmtId="0" fontId="5" fillId="4" borderId="2" xfId="0" applyFont="1" applyFill="1" applyBorder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164" fontId="0" fillId="4" borderId="2" xfId="28" applyNumberFormat="1" applyFont="1" applyFill="1" applyBorder="1" applyProtection="1">
      <protection locked="0"/>
    </xf>
    <xf numFmtId="164" fontId="34" fillId="0" borderId="0" xfId="28" applyNumberFormat="1" applyFont="1" applyAlignment="1">
      <alignment wrapText="1"/>
    </xf>
    <xf numFmtId="164" fontId="34" fillId="4" borderId="2" xfId="28" applyNumberFormat="1" applyFont="1" applyFill="1" applyBorder="1" applyProtection="1">
      <protection locked="0"/>
    </xf>
    <xf numFmtId="164" fontId="34" fillId="0" borderId="0" xfId="28" applyNumberFormat="1" applyFont="1" applyFill="1" applyBorder="1" applyProtection="1">
      <protection locked="0"/>
    </xf>
    <xf numFmtId="164" fontId="34" fillId="0" borderId="0" xfId="28" applyNumberFormat="1" applyFont="1" applyFill="1" applyBorder="1" applyProtection="1"/>
    <xf numFmtId="164" fontId="0" fillId="0" borderId="0" xfId="28" applyNumberFormat="1" applyFont="1"/>
    <xf numFmtId="164" fontId="0" fillId="0" borderId="1" xfId="28" applyNumberFormat="1" applyFont="1" applyBorder="1"/>
    <xf numFmtId="164" fontId="0" fillId="0" borderId="0" xfId="28" applyNumberFormat="1" applyFont="1" applyBorder="1"/>
    <xf numFmtId="164" fontId="0" fillId="0" borderId="0" xfId="28" applyNumberFormat="1" applyFont="1" applyFill="1"/>
    <xf numFmtId="164" fontId="0" fillId="0" borderId="1" xfId="28" applyNumberFormat="1" applyFont="1" applyFill="1" applyBorder="1"/>
    <xf numFmtId="164" fontId="0" fillId="0" borderId="3" xfId="28" applyNumberFormat="1" applyFont="1" applyBorder="1"/>
    <xf numFmtId="164" fontId="8" fillId="0" borderId="0" xfId="28" applyNumberFormat="1" applyFont="1"/>
    <xf numFmtId="164" fontId="0" fillId="0" borderId="0" xfId="28" applyNumberFormat="1" applyFont="1" applyAlignment="1">
      <alignment wrapText="1"/>
    </xf>
    <xf numFmtId="164" fontId="0" fillId="0" borderId="0" xfId="28" applyNumberFormat="1" applyFont="1" applyFill="1" applyBorder="1" applyProtection="1"/>
    <xf numFmtId="164" fontId="0" fillId="0" borderId="0" xfId="28" applyNumberFormat="1" applyFont="1" applyFill="1" applyBorder="1"/>
    <xf numFmtId="164" fontId="5" fillId="4" borderId="2" xfId="28" applyNumberFormat="1" applyFont="1" applyFill="1" applyBorder="1" applyProtection="1">
      <protection locked="0"/>
    </xf>
    <xf numFmtId="0" fontId="7" fillId="0" borderId="0" xfId="0" applyFont="1" applyAlignment="1">
      <alignment horizontal="right" vertical="center"/>
    </xf>
    <xf numFmtId="0" fontId="7" fillId="40" borderId="0" xfId="0" applyFont="1" applyFill="1" applyAlignment="1">
      <alignment horizontal="left"/>
    </xf>
    <xf numFmtId="0" fontId="8" fillId="0" borderId="0" xfId="0" quotePrefix="1" applyFont="1"/>
    <xf numFmtId="0" fontId="34" fillId="39" borderId="2" xfId="0" applyFont="1" applyFill="1" applyBorder="1" applyProtection="1">
      <protection locked="0"/>
    </xf>
    <xf numFmtId="164" fontId="0" fillId="39" borderId="2" xfId="28" applyNumberFormat="1" applyFont="1" applyFill="1" applyBorder="1" applyProtection="1">
      <protection locked="0"/>
    </xf>
    <xf numFmtId="0" fontId="5" fillId="4" borderId="7" xfId="50" applyFill="1" applyBorder="1" applyProtection="1">
      <protection locked="0"/>
    </xf>
    <xf numFmtId="0" fontId="5" fillId="3" borderId="0" xfId="50" applyFill="1"/>
    <xf numFmtId="0" fontId="9" fillId="0" borderId="0" xfId="50" applyFont="1" applyAlignment="1">
      <alignment horizontal="center"/>
    </xf>
    <xf numFmtId="0" fontId="5" fillId="0" borderId="0" xfId="50"/>
    <xf numFmtId="164" fontId="0" fillId="0" borderId="0" xfId="51" applyNumberFormat="1" applyFont="1"/>
    <xf numFmtId="164" fontId="5" fillId="0" borderId="0" xfId="51" applyNumberFormat="1"/>
    <xf numFmtId="0" fontId="5" fillId="4" borderId="6" xfId="50" applyFill="1" applyBorder="1" applyProtection="1">
      <protection locked="0"/>
    </xf>
    <xf numFmtId="0" fontId="13" fillId="0" borderId="0" xfId="50" applyFont="1" applyAlignment="1">
      <alignment horizontal="center"/>
    </xf>
    <xf numFmtId="0" fontId="14" fillId="0" borderId="0" xfId="50" applyFont="1" applyAlignment="1">
      <alignment horizontal="center"/>
    </xf>
    <xf numFmtId="0" fontId="5" fillId="4" borderId="9" xfId="50" applyFill="1" applyBorder="1" applyProtection="1">
      <protection locked="0"/>
    </xf>
    <xf numFmtId="0" fontId="5" fillId="4" borderId="8" xfId="50" applyFill="1" applyBorder="1" applyProtection="1">
      <protection locked="0"/>
    </xf>
    <xf numFmtId="0" fontId="6" fillId="0" borderId="0" xfId="50" applyFont="1" applyAlignment="1">
      <alignment horizontal="center"/>
    </xf>
    <xf numFmtId="0" fontId="12" fillId="0" borderId="0" xfId="50" applyFont="1" applyAlignment="1">
      <alignment horizontal="center"/>
    </xf>
    <xf numFmtId="0" fontId="7" fillId="0" borderId="0" xfId="50" applyFont="1"/>
    <xf numFmtId="0" fontId="5" fillId="0" borderId="0" xfId="50" applyAlignment="1">
      <alignment wrapText="1"/>
    </xf>
    <xf numFmtId="0" fontId="5" fillId="0" borderId="0" xfId="50" applyAlignment="1">
      <alignment horizontal="center"/>
    </xf>
    <xf numFmtId="0" fontId="5" fillId="39" borderId="2" xfId="50" applyFill="1" applyBorder="1" applyProtection="1">
      <protection locked="0"/>
    </xf>
    <xf numFmtId="164" fontId="5" fillId="0" borderId="0" xfId="51" applyNumberFormat="1" applyFont="1"/>
    <xf numFmtId="0" fontId="5" fillId="0" borderId="1" xfId="50" applyBorder="1"/>
    <xf numFmtId="164" fontId="5" fillId="0" borderId="0" xfId="50" applyNumberFormat="1"/>
    <xf numFmtId="0" fontId="5" fillId="0" borderId="2" xfId="50" applyBorder="1" applyProtection="1">
      <protection hidden="1"/>
    </xf>
    <xf numFmtId="0" fontId="5" fillId="4" borderId="2" xfId="50" applyFill="1" applyBorder="1" applyProtection="1">
      <protection locked="0"/>
    </xf>
    <xf numFmtId="0" fontId="5" fillId="4" borderId="0" xfId="50" applyFill="1" applyProtection="1">
      <protection locked="0"/>
    </xf>
    <xf numFmtId="164" fontId="5" fillId="0" borderId="0" xfId="51" applyNumberFormat="1" applyFill="1"/>
    <xf numFmtId="164" fontId="7" fillId="0" borderId="0" xfId="51" applyNumberFormat="1" applyFont="1"/>
    <xf numFmtId="164" fontId="0" fillId="0" borderId="0" xfId="51" applyNumberFormat="1" applyFont="1" applyBorder="1"/>
    <xf numFmtId="164" fontId="5" fillId="0" borderId="0" xfId="51" applyNumberFormat="1" applyBorder="1"/>
    <xf numFmtId="0" fontId="5" fillId="0" borderId="13" xfId="50" applyBorder="1" applyAlignment="1">
      <alignment wrapText="1"/>
    </xf>
    <xf numFmtId="0" fontId="5" fillId="3" borderId="3" xfId="50" applyFill="1" applyBorder="1"/>
    <xf numFmtId="0" fontId="5" fillId="0" borderId="3" xfId="50" applyBorder="1" applyAlignment="1">
      <alignment wrapText="1"/>
    </xf>
    <xf numFmtId="0" fontId="5" fillId="0" borderId="3" xfId="50" applyBorder="1"/>
    <xf numFmtId="164" fontId="0" fillId="0" borderId="3" xfId="51" applyNumberFormat="1" applyFont="1" applyBorder="1"/>
    <xf numFmtId="164" fontId="0" fillId="0" borderId="1" xfId="51" applyNumberFormat="1" applyFont="1" applyBorder="1"/>
    <xf numFmtId="164" fontId="5" fillId="0" borderId="1" xfId="51" applyNumberFormat="1" applyFill="1" applyBorder="1"/>
    <xf numFmtId="164" fontId="5" fillId="0" borderId="0" xfId="52" applyNumberFormat="1" applyFont="1" applyFill="1"/>
    <xf numFmtId="0" fontId="5" fillId="42" borderId="0" xfId="50" applyFill="1"/>
    <xf numFmtId="0" fontId="5" fillId="4" borderId="2" xfId="50" applyFill="1" applyBorder="1" applyAlignment="1" applyProtection="1">
      <alignment wrapText="1"/>
      <protection locked="0"/>
    </xf>
    <xf numFmtId="164" fontId="0" fillId="4" borderId="2" xfId="51" applyNumberFormat="1" applyFont="1" applyFill="1" applyBorder="1" applyProtection="1">
      <protection locked="0"/>
    </xf>
    <xf numFmtId="164" fontId="5" fillId="0" borderId="0" xfId="51" applyNumberFormat="1" applyFill="1" applyBorder="1"/>
    <xf numFmtId="0" fontId="5" fillId="0" borderId="13" xfId="50" applyBorder="1"/>
    <xf numFmtId="164" fontId="5" fillId="0" borderId="3" xfId="51" applyNumberFormat="1" applyBorder="1"/>
    <xf numFmtId="164" fontId="7" fillId="2" borderId="6" xfId="50" applyNumberFormat="1" applyFont="1" applyFill="1" applyBorder="1"/>
    <xf numFmtId="165" fontId="5" fillId="41" borderId="6" xfId="53" applyNumberFormat="1" applyFont="1" applyFill="1" applyBorder="1"/>
    <xf numFmtId="0" fontId="5" fillId="4" borderId="7" xfId="0" applyFont="1" applyFill="1" applyBorder="1" applyProtection="1">
      <protection locked="0"/>
    </xf>
    <xf numFmtId="165" fontId="34" fillId="41" borderId="6" xfId="53" applyNumberFormat="1" applyFont="1" applyFill="1" applyBorder="1"/>
    <xf numFmtId="0" fontId="0" fillId="0" borderId="23" xfId="0" applyBorder="1" applyAlignment="1">
      <alignment horizontal="center" vertical="center" wrapText="1"/>
    </xf>
    <xf numFmtId="0" fontId="3" fillId="0" borderId="0" xfId="54"/>
    <xf numFmtId="0" fontId="3" fillId="0" borderId="0" xfId="54" applyAlignment="1">
      <alignment wrapText="1"/>
    </xf>
    <xf numFmtId="0" fontId="3" fillId="0" borderId="27" xfId="54" applyBorder="1" applyAlignment="1">
      <alignment horizontal="center" wrapText="1"/>
    </xf>
    <xf numFmtId="0" fontId="3" fillId="0" borderId="28" xfId="54" applyBorder="1" applyAlignment="1">
      <alignment horizontal="center" wrapText="1"/>
    </xf>
    <xf numFmtId="0" fontId="3" fillId="0" borderId="7" xfId="54" applyBorder="1" applyAlignment="1">
      <alignment horizontal="center"/>
    </xf>
    <xf numFmtId="0" fontId="3" fillId="0" borderId="24" xfId="54" applyBorder="1" applyAlignment="1">
      <alignment horizontal="center"/>
    </xf>
    <xf numFmtId="0" fontId="3" fillId="0" borderId="25" xfId="54" applyBorder="1"/>
    <xf numFmtId="0" fontId="3" fillId="0" borderId="26" xfId="54" applyBorder="1"/>
    <xf numFmtId="0" fontId="3" fillId="0" borderId="9" xfId="54" applyBorder="1" applyAlignment="1">
      <alignment horizontal="center"/>
    </xf>
    <xf numFmtId="0" fontId="3" fillId="0" borderId="27" xfId="54" applyBorder="1" applyAlignment="1">
      <alignment horizontal="center"/>
    </xf>
    <xf numFmtId="0" fontId="3" fillId="0" borderId="28" xfId="54" applyBorder="1"/>
    <xf numFmtId="0" fontId="3" fillId="0" borderId="8" xfId="54" applyBorder="1" applyAlignment="1">
      <alignment horizontal="center"/>
    </xf>
    <xf numFmtId="0" fontId="3" fillId="0" borderId="29" xfId="54" applyBorder="1" applyAlignment="1">
      <alignment horizontal="center"/>
    </xf>
    <xf numFmtId="0" fontId="3" fillId="0" borderId="10" xfId="54" applyBorder="1"/>
    <xf numFmtId="0" fontId="3" fillId="0" borderId="30" xfId="54" applyBorder="1"/>
    <xf numFmtId="0" fontId="46" fillId="0" borderId="0" xfId="0" applyFont="1" applyAlignment="1">
      <alignment wrapText="1"/>
    </xf>
    <xf numFmtId="0" fontId="5" fillId="4" borderId="6" xfId="0" applyFont="1" applyFill="1" applyBorder="1" applyProtection="1">
      <protection locked="0"/>
    </xf>
    <xf numFmtId="164" fontId="7" fillId="0" borderId="0" xfId="51" quotePrefix="1" applyNumberFormat="1" applyFont="1" applyAlignment="1">
      <alignment horizontal="center"/>
    </xf>
    <xf numFmtId="164" fontId="7" fillId="0" borderId="0" xfId="51" applyNumberFormat="1" applyFont="1" applyAlignment="1">
      <alignment horizontal="center"/>
    </xf>
    <xf numFmtId="0" fontId="2" fillId="0" borderId="0" xfId="54" applyFont="1"/>
    <xf numFmtId="0" fontId="2" fillId="0" borderId="0" xfId="54" applyFont="1" applyAlignment="1">
      <alignment horizontal="center" wrapText="1"/>
    </xf>
    <xf numFmtId="164" fontId="5" fillId="43" borderId="0" xfId="51" applyNumberFormat="1" applyFill="1"/>
    <xf numFmtId="0" fontId="5" fillId="0" borderId="0" xfId="50" applyAlignment="1">
      <alignment horizontal="center" wrapText="1"/>
    </xf>
    <xf numFmtId="164" fontId="0" fillId="0" borderId="0" xfId="51" applyNumberFormat="1" applyFont="1" applyFill="1"/>
    <xf numFmtId="164" fontId="5" fillId="0" borderId="1" xfId="51" applyNumberFormat="1" applyBorder="1"/>
    <xf numFmtId="164" fontId="0" fillId="0" borderId="0" xfId="51" applyNumberFormat="1" applyFont="1" applyAlignment="1">
      <alignment horizontal="right"/>
    </xf>
    <xf numFmtId="164" fontId="5" fillId="0" borderId="0" xfId="51" applyNumberFormat="1" applyFill="1" applyAlignment="1">
      <alignment horizontal="right"/>
    </xf>
    <xf numFmtId="0" fontId="5" fillId="0" borderId="0" xfId="50" applyAlignment="1">
      <alignment horizontal="right"/>
    </xf>
    <xf numFmtId="0" fontId="7" fillId="0" borderId="0" xfId="50" applyFont="1" applyAlignment="1">
      <alignment horizontal="center" vertical="center" wrapText="1"/>
    </xf>
    <xf numFmtId="164" fontId="0" fillId="43" borderId="3" xfId="51" applyNumberFormat="1" applyFont="1" applyFill="1" applyBorder="1"/>
    <xf numFmtId="164" fontId="5" fillId="43" borderId="4" xfId="50" applyNumberFormat="1" applyFill="1" applyBorder="1"/>
    <xf numFmtId="164" fontId="5" fillId="43" borderId="4" xfId="51" applyNumberFormat="1" applyFill="1" applyBorder="1"/>
    <xf numFmtId="0" fontId="1" fillId="0" borderId="0" xfId="54" applyFont="1"/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7" fillId="0" borderId="0" xfId="51" quotePrefix="1" applyNumberFormat="1" applyFont="1" applyAlignment="1">
      <alignment horizontal="center"/>
    </xf>
    <xf numFmtId="164" fontId="7" fillId="0" borderId="0" xfId="51" applyNumberFormat="1" applyFont="1" applyAlignment="1">
      <alignment horizontal="center"/>
    </xf>
    <xf numFmtId="0" fontId="3" fillId="0" borderId="7" xfId="54" applyBorder="1" applyAlignment="1">
      <alignment horizontal="center" wrapText="1"/>
    </xf>
    <xf numFmtId="0" fontId="3" fillId="0" borderId="8" xfId="54" applyBorder="1" applyAlignment="1">
      <alignment horizontal="center" wrapText="1"/>
    </xf>
    <xf numFmtId="0" fontId="3" fillId="0" borderId="13" xfId="54" applyBorder="1" applyAlignment="1">
      <alignment horizontal="center"/>
    </xf>
    <xf numFmtId="0" fontId="3" fillId="0" borderId="3" xfId="54" applyBorder="1" applyAlignment="1">
      <alignment horizontal="center"/>
    </xf>
    <xf numFmtId="0" fontId="3" fillId="0" borderId="4" xfId="54" applyBorder="1" applyAlignment="1">
      <alignment horizontal="center"/>
    </xf>
  </cellXfs>
  <cellStyles count="5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73668DA0-EBD1-42C4-A445-6F1DAE4FE2AD}"/>
    <cellStyle name="Comma 3" xfId="30" xr:uid="{00000000-0005-0000-0000-00001D000000}"/>
    <cellStyle name="Comma 3 2" xfId="48" xr:uid="{5BA0A68C-A95E-4557-BB07-093812E6FC6D}"/>
    <cellStyle name="Comma 3 2 2" xfId="51" xr:uid="{C8E7F149-B307-4907-84A3-AFBC863F39E6}"/>
    <cellStyle name="Currency" xfId="53" builtinId="4"/>
    <cellStyle name="Emphasis 1" xfId="31" xr:uid="{00000000-0005-0000-0000-00001E000000}"/>
    <cellStyle name="Emphasis 2" xfId="32" xr:uid="{00000000-0005-0000-0000-00001F000000}"/>
    <cellStyle name="Emphasis 3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B000000}"/>
    <cellStyle name="Normal 2 2" xfId="50" xr:uid="{163F6FF1-F182-41FE-BC83-B4F88083B44F}"/>
    <cellStyle name="Normal 3" xfId="49" xr:uid="{90ED6AE8-7454-4D79-B82A-527BB2D13BAC}"/>
    <cellStyle name="Normal 3 2" xfId="54" xr:uid="{E95DB815-823A-4F23-B047-89D1DBA52E05}"/>
    <cellStyle name="Note" xfId="43" builtinId="10" customBuiltin="1"/>
    <cellStyle name="Output" xfId="44" builtinId="21" customBuiltin="1"/>
    <cellStyle name="Sheet Title" xfId="45" xr:uid="{00000000-0005-0000-0000-00002E000000}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3409950</xdr:colOff>
      <xdr:row>0</xdr:row>
      <xdr:rowOff>9526</xdr:rowOff>
    </xdr:from>
    <xdr:to>
      <xdr:col>9</xdr:col>
      <xdr:colOff>476249</xdr:colOff>
      <xdr:row>7</xdr:row>
      <xdr:rowOff>133350</xdr:rowOff>
    </xdr:to>
    <xdr:pic>
      <xdr:nvPicPr>
        <xdr:cNvPr id="8341" name="Picture 2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526"/>
          <a:ext cx="2133599" cy="146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2076450</xdr:colOff>
      <xdr:row>12</xdr:row>
      <xdr:rowOff>19050</xdr:rowOff>
    </xdr:from>
    <xdr:to>
      <xdr:col>9</xdr:col>
      <xdr:colOff>619125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CE7B3-B51D-43FA-903A-51A52FF28056}"/>
            </a:ext>
          </a:extLst>
        </xdr:cNvPr>
        <xdr:cNvSpPr txBox="1"/>
      </xdr:nvSpPr>
      <xdr:spPr>
        <a:xfrm>
          <a:off x="3800475" y="2228850"/>
          <a:ext cx="3609975" cy="1647825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rgbClr val="FF0000"/>
              </a:solidFill>
            </a:rPr>
            <a:t>Note: Pricing Current as of 6/15/2023. Market changing rapidly</a:t>
          </a:r>
          <a:r>
            <a:rPr lang="en-US" sz="1800" baseline="0">
              <a:solidFill>
                <a:srgbClr val="FF0000"/>
              </a:solidFill>
            </a:rPr>
            <a:t> and all engines are extremely limited inventory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3438525</xdr:colOff>
      <xdr:row>0</xdr:row>
      <xdr:rowOff>0</xdr:rowOff>
    </xdr:from>
    <xdr:to>
      <xdr:col>9</xdr:col>
      <xdr:colOff>47625</xdr:colOff>
      <xdr:row>7</xdr:row>
      <xdr:rowOff>123825</xdr:rowOff>
    </xdr:to>
    <xdr:pic>
      <xdr:nvPicPr>
        <xdr:cNvPr id="6298" name="Picture 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463" y="0"/>
          <a:ext cx="1995487" cy="143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1476376</xdr:colOff>
      <xdr:row>8</xdr:row>
      <xdr:rowOff>104775</xdr:rowOff>
    </xdr:from>
    <xdr:to>
      <xdr:col>11</xdr:col>
      <xdr:colOff>317500</xdr:colOff>
      <xdr:row>14</xdr:row>
      <xdr:rowOff>88900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C538A4-0405-4F1B-BFD6-1DA4910D9FCA}"/>
            </a:ext>
          </a:extLst>
        </xdr:cNvPr>
        <xdr:cNvSpPr txBox="1"/>
      </xdr:nvSpPr>
      <xdr:spPr>
        <a:xfrm>
          <a:off x="3222626" y="1628775"/>
          <a:ext cx="6194424" cy="1025525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Note: Pricing Current as of 6/15/2023. Market changing rapidly</a:t>
          </a:r>
          <a:r>
            <a:rPr lang="en-US" sz="2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and all engines are extremely limited inventory</a:t>
          </a:r>
          <a:endParaRPr lang="en-US" sz="2000">
            <a:solidFill>
              <a:srgbClr val="FF0000"/>
            </a:solidFill>
            <a:effectLst/>
          </a:endParaRPr>
        </a:p>
        <a:p>
          <a:pPr algn="ctr"/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9</xdr:col>
      <xdr:colOff>514350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9CAFC0-D70A-4680-A951-6873980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575"/>
          <a:ext cx="1933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68"/>
  <sheetViews>
    <sheetView tabSelected="1" zoomScaleNormal="100" workbookViewId="0"/>
  </sheetViews>
  <sheetFormatPr defaultColWidth="9.1796875" defaultRowHeight="12.5" x14ac:dyDescent="0.25"/>
  <cols>
    <col min="1" max="1" width="21.81640625" style="63" customWidth="1"/>
    <col min="2" max="2" width="4" style="61" customWidth="1"/>
    <col min="3" max="3" width="56.7265625" style="72" customWidth="1"/>
    <col min="4" max="6" width="5.6328125" style="63" hidden="1" customWidth="1"/>
    <col min="7" max="7" width="8.81640625" style="63" hidden="1" customWidth="1"/>
    <col min="8" max="8" width="10" style="77" bestFit="1" customWidth="1"/>
    <col min="9" max="9" width="9.26953125" style="77" bestFit="1" customWidth="1"/>
    <col min="10" max="10" width="10.26953125" style="77" bestFit="1" customWidth="1"/>
    <col min="11" max="11" width="10.26953125" style="63" bestFit="1" customWidth="1"/>
    <col min="12" max="16384" width="9.1796875" style="63"/>
  </cols>
  <sheetData>
    <row r="1" spans="1:10" ht="22.5" thickBot="1" x14ac:dyDescent="0.45">
      <c r="A1" s="198" t="s">
        <v>139</v>
      </c>
      <c r="C1" s="62" t="s">
        <v>33</v>
      </c>
    </row>
    <row r="2" spans="1:10" ht="13" thickBot="1" x14ac:dyDescent="0.3">
      <c r="A2" s="60">
        <v>1982</v>
      </c>
      <c r="C2" s="64" t="s">
        <v>34</v>
      </c>
    </row>
    <row r="3" spans="1:10" ht="13" x14ac:dyDescent="0.3">
      <c r="A3" s="65" t="s">
        <v>48</v>
      </c>
      <c r="C3" s="66" t="s">
        <v>35</v>
      </c>
    </row>
    <row r="4" spans="1:10" ht="13" x14ac:dyDescent="0.3">
      <c r="A4" s="67" t="s">
        <v>124</v>
      </c>
      <c r="C4" s="66" t="s">
        <v>13</v>
      </c>
    </row>
    <row r="5" spans="1:10" ht="13.5" thickBot="1" x14ac:dyDescent="0.35">
      <c r="A5" s="68" t="s">
        <v>49</v>
      </c>
      <c r="C5" s="66" t="s">
        <v>36</v>
      </c>
    </row>
    <row r="6" spans="1:10" ht="13.5" thickBot="1" x14ac:dyDescent="0.35">
      <c r="A6" s="68" t="s">
        <v>46</v>
      </c>
      <c r="C6" s="66" t="s">
        <v>37</v>
      </c>
    </row>
    <row r="7" spans="1:10" ht="16" thickBot="1" x14ac:dyDescent="0.4">
      <c r="A7" s="60" t="s">
        <v>47</v>
      </c>
      <c r="C7" s="69" t="s">
        <v>132</v>
      </c>
    </row>
    <row r="8" spans="1:10" ht="15.5" thickBot="1" x14ac:dyDescent="0.35">
      <c r="C8" s="70" t="s">
        <v>39</v>
      </c>
    </row>
    <row r="9" spans="1:10" ht="13.5" thickBot="1" x14ac:dyDescent="0.35">
      <c r="A9" s="71" t="s">
        <v>107</v>
      </c>
      <c r="J9" s="180">
        <f>K168</f>
        <v>3144</v>
      </c>
    </row>
    <row r="11" spans="1:10" ht="13" x14ac:dyDescent="0.3">
      <c r="A11" s="31" t="s">
        <v>161</v>
      </c>
      <c r="B11" s="74" t="str">
        <f>IF($A$2&gt;1973,"",1)</f>
        <v/>
      </c>
      <c r="C11" s="75" t="s">
        <v>100</v>
      </c>
      <c r="E11" s="126" t="s">
        <v>173</v>
      </c>
      <c r="F11" s="63" t="str">
        <f>IF(SUM(B11:B13)&gt;0,"915","G50")</f>
        <v>915</v>
      </c>
    </row>
    <row r="12" spans="1:10" ht="13" x14ac:dyDescent="0.3">
      <c r="B12" s="74">
        <f>IF(AND($A$2&gt;1972,$A$2&lt;1984),1,"")</f>
        <v>1</v>
      </c>
      <c r="C12" s="75" t="s">
        <v>128</v>
      </c>
      <c r="E12" s="77"/>
      <c r="F12" s="77"/>
    </row>
    <row r="13" spans="1:10" ht="13" x14ac:dyDescent="0.3">
      <c r="B13" s="74" t="str">
        <f>IF(AND($A$2&gt;1983,$A$2&lt;1987),1,"")</f>
        <v/>
      </c>
      <c r="C13" s="75" t="s">
        <v>98</v>
      </c>
      <c r="E13" s="77"/>
      <c r="F13" s="77"/>
    </row>
    <row r="14" spans="1:10" ht="13" x14ac:dyDescent="0.3">
      <c r="B14" s="74" t="str">
        <f>IF($A$2&gt;1986,1,"")</f>
        <v/>
      </c>
      <c r="C14" s="75" t="s">
        <v>99</v>
      </c>
      <c r="E14" s="77"/>
      <c r="F14" s="77"/>
    </row>
    <row r="15" spans="1:10" ht="13" x14ac:dyDescent="0.3">
      <c r="B15" s="63"/>
      <c r="C15" s="75"/>
      <c r="E15" s="77"/>
      <c r="F15" s="77"/>
    </row>
    <row r="16" spans="1:10" ht="13" x14ac:dyDescent="0.3">
      <c r="A16" s="31" t="s">
        <v>162</v>
      </c>
      <c r="B16" s="134"/>
      <c r="C16" s="132" t="s">
        <v>163</v>
      </c>
      <c r="D16" s="133" t="s">
        <v>174</v>
      </c>
      <c r="E16" s="126" t="s">
        <v>162</v>
      </c>
      <c r="F16" s="126" t="str">
        <f>VLOOKUP(1,B16:D19,3,FALSE)</f>
        <v>VREURO</v>
      </c>
    </row>
    <row r="17" spans="1:8" ht="13" x14ac:dyDescent="0.3">
      <c r="B17" s="134"/>
      <c r="C17" s="132" t="s">
        <v>164</v>
      </c>
      <c r="D17" s="133" t="s">
        <v>175</v>
      </c>
      <c r="E17" s="126" t="s">
        <v>167</v>
      </c>
      <c r="F17" s="77"/>
    </row>
    <row r="18" spans="1:8" ht="13" x14ac:dyDescent="0.3">
      <c r="B18" s="134">
        <v>1</v>
      </c>
      <c r="C18" s="132" t="s">
        <v>165</v>
      </c>
      <c r="D18" s="2" t="s">
        <v>181</v>
      </c>
      <c r="E18" s="77"/>
      <c r="F18" s="77"/>
    </row>
    <row r="19" spans="1:8" ht="13" x14ac:dyDescent="0.3">
      <c r="B19" s="134"/>
      <c r="C19" s="132" t="s">
        <v>166</v>
      </c>
      <c r="D19" s="2" t="s">
        <v>176</v>
      </c>
      <c r="E19" s="77"/>
      <c r="F19" s="77"/>
    </row>
    <row r="20" spans="1:8" ht="13" x14ac:dyDescent="0.3">
      <c r="B20" s="63"/>
      <c r="C20" s="75"/>
      <c r="E20" s="77"/>
      <c r="F20" s="77"/>
    </row>
    <row r="21" spans="1:8" ht="13" x14ac:dyDescent="0.3">
      <c r="A21" s="31" t="s">
        <v>180</v>
      </c>
      <c r="B21" s="134">
        <v>1</v>
      </c>
      <c r="C21" s="132" t="s">
        <v>168</v>
      </c>
      <c r="D21" s="2" t="s">
        <v>177</v>
      </c>
      <c r="E21" s="126" t="s">
        <v>172</v>
      </c>
      <c r="F21" s="77" t="str">
        <f>VLOOKUP(1,B21:D24,3,FALSE)</f>
        <v>CUST</v>
      </c>
    </row>
    <row r="22" spans="1:8" ht="13" x14ac:dyDescent="0.3">
      <c r="B22" s="134"/>
      <c r="C22" s="132" t="s">
        <v>169</v>
      </c>
      <c r="D22" s="2" t="s">
        <v>145</v>
      </c>
    </row>
    <row r="23" spans="1:8" ht="13" x14ac:dyDescent="0.3">
      <c r="B23" s="134"/>
      <c r="C23" s="132" t="s">
        <v>170</v>
      </c>
      <c r="D23" s="2" t="s">
        <v>179</v>
      </c>
    </row>
    <row r="24" spans="1:8" ht="13" x14ac:dyDescent="0.3">
      <c r="B24" s="134"/>
      <c r="C24" s="132" t="s">
        <v>171</v>
      </c>
      <c r="D24" s="2" t="s">
        <v>178</v>
      </c>
    </row>
    <row r="25" spans="1:8" ht="13" x14ac:dyDescent="0.3">
      <c r="A25" s="71" t="s">
        <v>106</v>
      </c>
    </row>
    <row r="26" spans="1:8" ht="13" x14ac:dyDescent="0.3">
      <c r="A26" s="71"/>
    </row>
    <row r="27" spans="1:8" x14ac:dyDescent="0.25">
      <c r="A27" s="73" t="s">
        <v>0</v>
      </c>
      <c r="B27" s="74">
        <f>IF(B25=1,"",1)</f>
        <v>1</v>
      </c>
      <c r="C27" s="76" t="str">
        <f>'964'!C16</f>
        <v>3 short studs, 4 10mm nuts, 4 10mm washers</v>
      </c>
      <c r="D27" s="63">
        <f>'964'!D16</f>
        <v>10</v>
      </c>
      <c r="E27" s="63">
        <f>'964'!E16</f>
        <v>10</v>
      </c>
      <c r="F27" s="63">
        <f>'964'!F16</f>
        <v>10</v>
      </c>
    </row>
    <row r="28" spans="1:8" x14ac:dyDescent="0.25">
      <c r="A28" s="63" t="s">
        <v>1</v>
      </c>
      <c r="B28" s="74">
        <v>1</v>
      </c>
      <c r="C28" s="76" t="str">
        <f>'964'!C17</f>
        <v>2 fabricated spacers, 2 washers, 2 5.5" bolts, 2 nuts</v>
      </c>
      <c r="D28" s="63">
        <f>'964'!D17</f>
        <v>20</v>
      </c>
      <c r="E28" s="63">
        <f>'964'!E17</f>
        <v>20</v>
      </c>
      <c r="F28" s="63">
        <f>'964'!F17</f>
        <v>20</v>
      </c>
    </row>
    <row r="29" spans="1:8" x14ac:dyDescent="0.25">
      <c r="A29" s="63" t="s">
        <v>5</v>
      </c>
      <c r="B29" s="95"/>
      <c r="C29" s="76" t="str">
        <f>'964'!C18</f>
        <v>Sheetmetal Modification (No cost option -w- kit)</v>
      </c>
      <c r="D29" s="63">
        <f>'964'!D18</f>
        <v>0</v>
      </c>
      <c r="E29" s="63">
        <f>'964'!E18</f>
        <v>0</v>
      </c>
      <c r="F29" s="63">
        <f>'964'!F18</f>
        <v>0</v>
      </c>
    </row>
    <row r="30" spans="1:8" x14ac:dyDescent="0.25">
      <c r="A30" s="63" t="s">
        <v>6</v>
      </c>
      <c r="B30" s="74">
        <v>1</v>
      </c>
      <c r="C30" s="76" t="str">
        <f>'964'!C19</f>
        <v>Crossmember reshaped, reinforced, strengthened (supply core)</v>
      </c>
      <c r="D30" s="63">
        <f>'964'!D19</f>
        <v>0</v>
      </c>
      <c r="E30" s="63">
        <f>'964'!E19</f>
        <v>0</v>
      </c>
      <c r="F30" s="63">
        <f>'964'!F19</f>
        <v>0</v>
      </c>
      <c r="G30" s="78"/>
      <c r="H30" s="92"/>
    </row>
    <row r="31" spans="1:8" x14ac:dyDescent="0.25">
      <c r="B31" s="63"/>
      <c r="F31" s="63" t="str">
        <f>'964'!F20</f>
        <v/>
      </c>
      <c r="G31" s="63">
        <f>SUM(F27:F30)</f>
        <v>30</v>
      </c>
      <c r="H31" s="80"/>
    </row>
    <row r="32" spans="1:8" x14ac:dyDescent="0.25">
      <c r="A32" s="63" t="s">
        <v>3</v>
      </c>
      <c r="B32" s="79">
        <f>IF(SUM(B11:B13)&gt;0,1,"")</f>
        <v>1</v>
      </c>
      <c r="C32" s="76" t="str">
        <f>'964'!C21</f>
        <v>Flywheel for 3.6 conversion - 915</v>
      </c>
      <c r="D32" s="63">
        <f>'964'!D21</f>
        <v>388</v>
      </c>
      <c r="E32" s="63">
        <f>'964'!E21</f>
        <v>388</v>
      </c>
      <c r="F32" s="63">
        <f>'964'!F21</f>
        <v>388</v>
      </c>
    </row>
    <row r="33" spans="1:10" ht="25" x14ac:dyDescent="0.25">
      <c r="B33" s="74" t="str">
        <f>B14</f>
        <v/>
      </c>
      <c r="C33" s="76" t="str">
        <f>'964'!C22</f>
        <v>Flywheel for 3.6 conversion - G50 with sensor pickup (Adds $200, with or without RS clutch kit)</v>
      </c>
      <c r="D33" s="63">
        <f>'964'!D22</f>
        <v>588</v>
      </c>
      <c r="E33" s="63">
        <f>'964'!E22</f>
        <v>0</v>
      </c>
      <c r="F33" s="63" t="str">
        <f>'964'!F22</f>
        <v/>
      </c>
    </row>
    <row r="34" spans="1:10" x14ac:dyDescent="0.25">
      <c r="B34" s="74">
        <v>1</v>
      </c>
      <c r="C34" s="76" t="str">
        <f>'964'!C23</f>
        <v>9 FW bolts</v>
      </c>
      <c r="D34" s="63">
        <f>'964'!D23</f>
        <v>9</v>
      </c>
      <c r="E34" s="63">
        <f>'964'!E23</f>
        <v>9</v>
      </c>
      <c r="F34" s="63">
        <f>'964'!F23</f>
        <v>9</v>
      </c>
      <c r="J34" s="80"/>
    </row>
    <row r="35" spans="1:10" x14ac:dyDescent="0.25">
      <c r="B35" s="74">
        <v>1</v>
      </c>
      <c r="C35" s="76" t="str">
        <f>'964'!C24</f>
        <v>9 Clutch Bolts/Lockwashers</v>
      </c>
      <c r="D35" s="63">
        <f>'964'!D24</f>
        <v>4</v>
      </c>
      <c r="E35" s="63">
        <f>'964'!E24</f>
        <v>4</v>
      </c>
      <c r="F35" s="63">
        <f>'964'!F24</f>
        <v>4</v>
      </c>
    </row>
    <row r="36" spans="1:10" x14ac:dyDescent="0.25">
      <c r="B36" s="74">
        <v>1</v>
      </c>
      <c r="C36" s="76" t="str">
        <f>'964'!C25</f>
        <v>1 pilot bearing</v>
      </c>
      <c r="D36" s="63">
        <f>'964'!D25</f>
        <v>12</v>
      </c>
      <c r="E36" s="63">
        <f>'964'!E25</f>
        <v>12</v>
      </c>
      <c r="F36" s="63">
        <f>'964'!F25</f>
        <v>12</v>
      </c>
      <c r="G36" s="78"/>
      <c r="H36" s="92"/>
    </row>
    <row r="37" spans="1:10" x14ac:dyDescent="0.25">
      <c r="B37" s="63"/>
      <c r="F37" s="63" t="str">
        <f>'964'!F26</f>
        <v/>
      </c>
      <c r="G37" s="63">
        <f>SUM(F32:F36)</f>
        <v>413</v>
      </c>
    </row>
    <row r="38" spans="1:10" x14ac:dyDescent="0.25">
      <c r="A38" s="63" t="s">
        <v>2</v>
      </c>
      <c r="B38" s="74">
        <v>1</v>
      </c>
      <c r="C38" s="76" t="s">
        <v>105</v>
      </c>
      <c r="D38" s="63">
        <v>200</v>
      </c>
      <c r="E38" s="63">
        <f>'964'!E27</f>
        <v>160</v>
      </c>
      <c r="F38" s="63">
        <f>'964'!F27</f>
        <v>160</v>
      </c>
      <c r="H38" s="81"/>
    </row>
    <row r="39" spans="1:10" x14ac:dyDescent="0.25">
      <c r="B39" s="74">
        <f>B38</f>
        <v>1</v>
      </c>
      <c r="C39" s="72" t="s">
        <v>10</v>
      </c>
      <c r="D39" s="63">
        <f>'964'!D28</f>
        <v>24</v>
      </c>
      <c r="E39" s="63">
        <f>'964'!E28</f>
        <v>24</v>
      </c>
      <c r="F39" s="63">
        <f>'964'!F28</f>
        <v>24</v>
      </c>
      <c r="G39" s="78"/>
      <c r="H39" s="92"/>
    </row>
    <row r="40" spans="1:10" x14ac:dyDescent="0.25">
      <c r="B40" s="63"/>
      <c r="F40" s="63" t="str">
        <f>'964'!F29</f>
        <v/>
      </c>
      <c r="G40" s="63">
        <f>SUM(F38:F39)</f>
        <v>184</v>
      </c>
    </row>
    <row r="41" spans="1:10" x14ac:dyDescent="0.25">
      <c r="A41" s="63" t="s">
        <v>11</v>
      </c>
      <c r="B41" s="74">
        <f>IF(SUM(B12:B13)&gt;0,1,"")</f>
        <v>1</v>
      </c>
      <c r="C41" s="76" t="str">
        <f>'964'!C30</f>
        <v>Fuel Filter Early and SC through 1983</v>
      </c>
      <c r="D41" s="63">
        <f>'964'!D30</f>
        <v>18</v>
      </c>
      <c r="E41" s="63">
        <f>'964'!E30</f>
        <v>18</v>
      </c>
      <c r="F41" s="63">
        <f>'964'!F30</f>
        <v>18</v>
      </c>
    </row>
    <row r="42" spans="1:10" x14ac:dyDescent="0.25">
      <c r="B42" s="74" t="str">
        <f>IF(B41=1,"",1)</f>
        <v/>
      </c>
      <c r="C42" s="76" t="str">
        <f>'964'!C31</f>
        <v>KL21 Carrera 84-89</v>
      </c>
      <c r="D42" s="63">
        <f>'964'!D31</f>
        <v>18</v>
      </c>
      <c r="E42" s="63">
        <f>'964'!E31</f>
        <v>0</v>
      </c>
      <c r="F42" s="63" t="str">
        <f>'964'!F31</f>
        <v/>
      </c>
    </row>
    <row r="43" spans="1:10" x14ac:dyDescent="0.25">
      <c r="B43" s="74">
        <v>1</v>
      </c>
      <c r="C43" s="76" t="str">
        <f>'964'!C32</f>
        <v>Fuel Line - filter to Injection</v>
      </c>
      <c r="D43" s="63">
        <f>'964'!D32</f>
        <v>55</v>
      </c>
      <c r="E43" s="63">
        <f>'964'!E32</f>
        <v>55</v>
      </c>
      <c r="F43" s="63">
        <f>'964'!F32</f>
        <v>55</v>
      </c>
    </row>
    <row r="44" spans="1:10" x14ac:dyDescent="0.25">
      <c r="B44" s="79" t="str">
        <f>B11</f>
        <v/>
      </c>
      <c r="C44" s="76" t="str">
        <f>'964'!C33</f>
        <v>Fuel Line - Return (to barb connector) -72</v>
      </c>
      <c r="D44" s="63">
        <f>'964'!D33</f>
        <v>35</v>
      </c>
      <c r="E44" s="63">
        <f>'964'!E33</f>
        <v>35</v>
      </c>
      <c r="F44" s="63" t="str">
        <f>'964'!F33</f>
        <v/>
      </c>
    </row>
    <row r="45" spans="1:10" x14ac:dyDescent="0.25">
      <c r="B45" s="74">
        <f>B12</f>
        <v>1</v>
      </c>
      <c r="C45" s="76" t="str">
        <f>'964'!C34</f>
        <v>Fuel Line - Return CIS 73-83</v>
      </c>
      <c r="D45" s="63">
        <f>'964'!D34</f>
        <v>35</v>
      </c>
      <c r="E45" s="63">
        <f>'964'!E34</f>
        <v>0</v>
      </c>
      <c r="F45" s="63">
        <f>'964'!F34</f>
        <v>35</v>
      </c>
    </row>
    <row r="46" spans="1:10" x14ac:dyDescent="0.25">
      <c r="B46" s="74" t="str">
        <f>IF(OR(B14=1,B25=1),1,"")</f>
        <v/>
      </c>
      <c r="C46" s="76" t="str">
        <f>'964'!C35</f>
        <v>Fuel Line - Return Carrera 84-89</v>
      </c>
      <c r="D46" s="63">
        <f>'964'!D35</f>
        <v>35</v>
      </c>
      <c r="E46" s="63">
        <f>'964'!E35</f>
        <v>0</v>
      </c>
      <c r="F46" s="63" t="str">
        <f>'964'!F35</f>
        <v/>
      </c>
      <c r="G46" s="78"/>
      <c r="H46" s="92"/>
    </row>
    <row r="47" spans="1:10" x14ac:dyDescent="0.25">
      <c r="B47" s="63"/>
      <c r="G47" s="63">
        <f>SUM(F41:F46)</f>
        <v>108</v>
      </c>
      <c r="H47" s="80"/>
    </row>
    <row r="49" spans="1:10" x14ac:dyDescent="0.25">
      <c r="A49" s="63" t="s">
        <v>7</v>
      </c>
      <c r="B49" s="74">
        <f>B32</f>
        <v>1</v>
      </c>
      <c r="C49" s="76" t="str">
        <f>'964'!C38</f>
        <v>915 Throttle cable assembly, with adjustable guide</v>
      </c>
      <c r="D49" s="63">
        <f>'964'!D38</f>
        <v>30</v>
      </c>
      <c r="E49" s="63">
        <f>'964'!E38</f>
        <v>30</v>
      </c>
      <c r="F49" s="63">
        <f>'964'!F38</f>
        <v>30</v>
      </c>
      <c r="H49" s="81"/>
      <c r="J49" s="81"/>
    </row>
    <row r="50" spans="1:10" x14ac:dyDescent="0.25">
      <c r="B50" s="74" t="str">
        <f>B33</f>
        <v/>
      </c>
      <c r="C50" s="76" t="str">
        <f>'964'!C39</f>
        <v>G50 Throttle cable assembly, with adjustable guide</v>
      </c>
      <c r="D50" s="63">
        <f>'964'!D39</f>
        <v>30</v>
      </c>
      <c r="E50" s="63">
        <f>'964'!E39</f>
        <v>0</v>
      </c>
      <c r="F50" s="63" t="str">
        <f>'964'!F39</f>
        <v/>
      </c>
      <c r="H50" s="81"/>
      <c r="J50" s="81"/>
    </row>
    <row r="51" spans="1:10" x14ac:dyDescent="0.25">
      <c r="B51" s="74">
        <v>1</v>
      </c>
      <c r="C51" s="76" t="str">
        <f>'964'!C40</f>
        <v>Belcrank - Modified (supply core, no cost option -w- kit)</v>
      </c>
      <c r="D51" s="63">
        <f>'964'!D40</f>
        <v>0</v>
      </c>
      <c r="E51" s="63">
        <f>'964'!E40</f>
        <v>0</v>
      </c>
      <c r="F51" s="63">
        <f>'964'!F40</f>
        <v>0</v>
      </c>
      <c r="G51" s="78"/>
      <c r="H51" s="90"/>
    </row>
    <row r="53" spans="1:10" ht="13" thickBot="1" x14ac:dyDescent="0.3">
      <c r="A53" s="73" t="s">
        <v>73</v>
      </c>
      <c r="B53" s="74">
        <v>1</v>
      </c>
      <c r="C53" s="76" t="s">
        <v>104</v>
      </c>
      <c r="D53" s="63">
        <v>85</v>
      </c>
      <c r="E53" s="63">
        <f>D53</f>
        <v>85</v>
      </c>
      <c r="F53" s="63">
        <f>E53</f>
        <v>85</v>
      </c>
      <c r="H53" s="81"/>
    </row>
    <row r="54" spans="1:10" ht="13.5" thickBot="1" x14ac:dyDescent="0.35">
      <c r="A54" s="84" t="s">
        <v>31</v>
      </c>
      <c r="B54" s="85"/>
      <c r="C54" s="86"/>
      <c r="D54" s="87"/>
      <c r="E54" s="87">
        <f>SUM(E30:E53)</f>
        <v>820</v>
      </c>
      <c r="F54" s="87">
        <f>SUM(F30:F53)</f>
        <v>820</v>
      </c>
      <c r="G54" s="87"/>
      <c r="H54" s="88"/>
      <c r="I54" s="88"/>
      <c r="J54" s="89">
        <f>1995+F54-E54</f>
        <v>1995</v>
      </c>
    </row>
    <row r="55" spans="1:10" x14ac:dyDescent="0.25">
      <c r="C55" s="63"/>
      <c r="F55" s="63" t="str">
        <f t="shared" ref="F55:F63" si="0">IF(B55&gt;0,B55*D55,"")</f>
        <v/>
      </c>
    </row>
    <row r="56" spans="1:10" x14ac:dyDescent="0.25">
      <c r="F56" s="63" t="str">
        <f t="shared" si="0"/>
        <v/>
      </c>
    </row>
    <row r="57" spans="1:10" ht="13" x14ac:dyDescent="0.3">
      <c r="A57" s="71" t="s">
        <v>23</v>
      </c>
      <c r="B57" s="82"/>
      <c r="C57" s="72" t="str">
        <f>'964'!C48</f>
        <v>915 PowerPack Clutch Kit ($800+ elsewhere)</v>
      </c>
      <c r="D57" s="63">
        <v>428</v>
      </c>
      <c r="F57" s="63" t="str">
        <f t="shared" si="0"/>
        <v/>
      </c>
      <c r="H57" s="77">
        <f>'964'!H48</f>
        <v>699</v>
      </c>
      <c r="I57" s="81" t="str">
        <f t="shared" ref="I57:I58" si="1">IF(B57=1,B57*H57,"")</f>
        <v/>
      </c>
      <c r="J57" s="81"/>
    </row>
    <row r="58" spans="1:10" x14ac:dyDescent="0.25">
      <c r="B58" s="82"/>
      <c r="C58" s="72" t="str">
        <f>'964'!C49</f>
        <v>G50 Cup RS Sachs Clutch Kit for 87-89 upgrade</v>
      </c>
      <c r="H58" s="77">
        <v>1695</v>
      </c>
      <c r="I58" s="81" t="str">
        <f t="shared" si="1"/>
        <v/>
      </c>
      <c r="J58" s="81"/>
    </row>
    <row r="59" spans="1:10" x14ac:dyDescent="0.25">
      <c r="B59" s="82" t="str">
        <f>IF(ENGINE="95",1,"")</f>
        <v/>
      </c>
      <c r="C59" s="76" t="s">
        <v>119</v>
      </c>
      <c r="D59" s="63">
        <v>150</v>
      </c>
      <c r="F59" s="63" t="str">
        <f>IF(B59=1,B59*D59,"")</f>
        <v/>
      </c>
      <c r="H59" s="77">
        <v>475</v>
      </c>
      <c r="I59" s="81" t="str">
        <f>IF(B59=1,B59*H59,"")</f>
        <v/>
      </c>
      <c r="J59" s="81"/>
    </row>
    <row r="60" spans="1:10" x14ac:dyDescent="0.25">
      <c r="B60" s="82">
        <f>IF(ENGINE="VREuro",1,"")</f>
        <v>1</v>
      </c>
      <c r="C60" s="76" t="s">
        <v>118</v>
      </c>
      <c r="D60" s="63">
        <v>100</v>
      </c>
      <c r="F60" s="63">
        <f t="shared" ref="F60:F61" si="2">IF(B60=1,B60*D60,"")</f>
        <v>100</v>
      </c>
      <c r="H60" s="77">
        <v>475</v>
      </c>
      <c r="I60" s="81">
        <f t="shared" ref="I60:I67" si="3">IF(B60=1,B60*H60,"")</f>
        <v>475</v>
      </c>
      <c r="J60" s="81"/>
    </row>
    <row r="61" spans="1:10" x14ac:dyDescent="0.25">
      <c r="B61" s="82" t="str">
        <f>IF(ENGINE="VRUS",1,"")</f>
        <v/>
      </c>
      <c r="C61" s="72" t="s">
        <v>123</v>
      </c>
      <c r="D61" s="114">
        <v>100</v>
      </c>
      <c r="F61" s="63" t="str">
        <f t="shared" si="2"/>
        <v/>
      </c>
      <c r="H61" s="77">
        <v>995</v>
      </c>
      <c r="I61" s="81" t="str">
        <f t="shared" si="3"/>
        <v/>
      </c>
      <c r="J61" s="81"/>
    </row>
    <row r="62" spans="1:10" x14ac:dyDescent="0.25">
      <c r="B62" s="82">
        <v>1</v>
      </c>
      <c r="C62" s="72" t="s">
        <v>87</v>
      </c>
      <c r="D62" s="63">
        <v>35</v>
      </c>
      <c r="F62" s="63">
        <f t="shared" si="0"/>
        <v>35</v>
      </c>
      <c r="H62" s="77">
        <v>89</v>
      </c>
      <c r="I62" s="81">
        <f t="shared" si="3"/>
        <v>89</v>
      </c>
      <c r="J62" s="81"/>
    </row>
    <row r="63" spans="1:10" x14ac:dyDescent="0.25">
      <c r="B63" s="82">
        <v>1</v>
      </c>
      <c r="C63" s="72" t="s">
        <v>27</v>
      </c>
      <c r="D63" s="63">
        <v>35</v>
      </c>
      <c r="F63" s="63">
        <f t="shared" si="0"/>
        <v>35</v>
      </c>
      <c r="H63" s="77">
        <v>65</v>
      </c>
      <c r="I63" s="81">
        <f t="shared" si="3"/>
        <v>65</v>
      </c>
      <c r="J63" s="81"/>
    </row>
    <row r="64" spans="1:10" x14ac:dyDescent="0.25">
      <c r="B64" s="82">
        <v>1</v>
      </c>
      <c r="C64" s="76" t="s">
        <v>17</v>
      </c>
      <c r="H64" s="77">
        <v>75</v>
      </c>
      <c r="I64" s="81">
        <f t="shared" si="3"/>
        <v>75</v>
      </c>
      <c r="J64" s="81"/>
    </row>
    <row r="65" spans="1:12" x14ac:dyDescent="0.25">
      <c r="B65" s="82"/>
      <c r="C65" s="76" t="s">
        <v>131</v>
      </c>
      <c r="H65" s="77">
        <v>125</v>
      </c>
      <c r="I65" s="81" t="str">
        <f t="shared" si="3"/>
        <v/>
      </c>
      <c r="J65" s="81"/>
    </row>
    <row r="66" spans="1:12" x14ac:dyDescent="0.25">
      <c r="B66" s="82">
        <v>1</v>
      </c>
      <c r="C66" s="76" t="str">
        <f>'964'!C53</f>
        <v>Shroud Blockoff kit ($15 with popular options)</v>
      </c>
      <c r="D66" s="63">
        <v>6</v>
      </c>
      <c r="H66" s="77">
        <f>'964'!H53</f>
        <v>39</v>
      </c>
      <c r="I66" s="81">
        <f t="shared" si="3"/>
        <v>39</v>
      </c>
      <c r="J66" s="81"/>
    </row>
    <row r="67" spans="1:12" x14ac:dyDescent="0.25">
      <c r="B67" s="82"/>
      <c r="C67" s="76" t="str">
        <f>'964'!C54</f>
        <v>Modify AC Bracket (No cost option with popular options)</v>
      </c>
      <c r="D67" s="63">
        <v>0</v>
      </c>
      <c r="F67" s="63" t="str">
        <f>IF(B67&gt;0,B67*D67,"")</f>
        <v/>
      </c>
      <c r="H67" s="92">
        <f>'964'!H54</f>
        <v>50</v>
      </c>
      <c r="I67" s="81" t="str">
        <f t="shared" si="3"/>
        <v/>
      </c>
      <c r="J67" s="90"/>
    </row>
    <row r="68" spans="1:12" x14ac:dyDescent="0.25">
      <c r="B68" s="63"/>
      <c r="G68" s="63">
        <f>SUM(F57:F67)</f>
        <v>170</v>
      </c>
      <c r="I68" s="81"/>
      <c r="J68" s="81">
        <f>SUM(I57:I67)</f>
        <v>743</v>
      </c>
    </row>
    <row r="69" spans="1:12" x14ac:dyDescent="0.25">
      <c r="B69" s="63"/>
      <c r="C69" s="76"/>
      <c r="I69" s="81"/>
    </row>
    <row r="70" spans="1:12" ht="13" x14ac:dyDescent="0.3">
      <c r="A70" s="71" t="s">
        <v>22</v>
      </c>
      <c r="B70" s="79">
        <f>IF(AND(OR(B59=1,B60=1),SUM(B64:B67)&gt;=2),1,"")</f>
        <v>1</v>
      </c>
      <c r="C70" s="72" t="s">
        <v>65</v>
      </c>
      <c r="H70" s="77">
        <f>-61-SUM(I66:I67)</f>
        <v>-100</v>
      </c>
      <c r="I70" s="81">
        <f>IF(B70=1,B70*H70,"")</f>
        <v>-100</v>
      </c>
    </row>
    <row r="71" spans="1:12" x14ac:dyDescent="0.25">
      <c r="B71" s="79" t="str">
        <f>IF(B70=1,"",IF(AND(OR(B60=1,B59=1),NOT(CONDITION="CUST")),1,""))</f>
        <v/>
      </c>
      <c r="C71" s="72" t="s">
        <v>45</v>
      </c>
      <c r="H71" s="80">
        <v>-100</v>
      </c>
      <c r="I71" s="91" t="str">
        <f>IF(B71=1,B71*H71,"")</f>
        <v/>
      </c>
      <c r="J71" s="80"/>
    </row>
    <row r="72" spans="1:12" x14ac:dyDescent="0.25">
      <c r="B72" s="74" t="str">
        <f>IF(B70=1,"",IF(AND(OR(B60=1,B59=1),(CONDITION="CUST")),1,""))</f>
        <v/>
      </c>
      <c r="C72" s="72" t="s">
        <v>32</v>
      </c>
      <c r="H72" s="92">
        <v>-50</v>
      </c>
      <c r="I72" s="90" t="str">
        <f>IF(B72=1,B72*H72,"")</f>
        <v/>
      </c>
      <c r="J72" s="92"/>
    </row>
    <row r="73" spans="1:12" s="73" customFormat="1" x14ac:dyDescent="0.25">
      <c r="A73" s="63"/>
      <c r="C73" s="72"/>
      <c r="D73" s="63"/>
      <c r="E73" s="63"/>
      <c r="F73" s="63"/>
      <c r="G73" s="63"/>
      <c r="H73" s="80"/>
      <c r="I73" s="80"/>
      <c r="J73" s="93">
        <f>SUM(I70:I72)</f>
        <v>-100</v>
      </c>
      <c r="K73" s="63"/>
      <c r="L73" s="94"/>
    </row>
    <row r="74" spans="1:12" x14ac:dyDescent="0.25">
      <c r="B74" s="63"/>
      <c r="C74" s="76"/>
      <c r="I74" s="81"/>
    </row>
    <row r="75" spans="1:12" ht="13" x14ac:dyDescent="0.3">
      <c r="A75" s="71" t="s">
        <v>24</v>
      </c>
      <c r="B75" s="82"/>
      <c r="C75" s="76" t="str">
        <f>'964'!C62</f>
        <v>CF Heater Tube</v>
      </c>
      <c r="D75" s="63">
        <v>140</v>
      </c>
      <c r="F75" s="63" t="str">
        <f>IF(B75&gt;0,B75*D75,"")</f>
        <v/>
      </c>
      <c r="H75" s="77">
        <f>'964'!H62</f>
        <v>299</v>
      </c>
      <c r="I75" s="81" t="str">
        <f t="shared" ref="I75:I104" si="4">IF(B75&gt;0,B75*H75,"")</f>
        <v/>
      </c>
      <c r="J75" s="81"/>
    </row>
    <row r="76" spans="1:12" ht="12" customHeight="1" x14ac:dyDescent="0.3">
      <c r="A76" s="71"/>
      <c r="B76" s="82"/>
      <c r="C76" s="9" t="s">
        <v>134</v>
      </c>
      <c r="H76" s="77">
        <v>195</v>
      </c>
      <c r="I76" s="81" t="str">
        <f t="shared" si="4"/>
        <v/>
      </c>
      <c r="J76" s="81"/>
    </row>
    <row r="77" spans="1:12" x14ac:dyDescent="0.25">
      <c r="B77" s="82"/>
      <c r="C77" s="8" t="s">
        <v>136</v>
      </c>
      <c r="H77" s="116">
        <v>85</v>
      </c>
      <c r="I77" s="81" t="str">
        <f t="shared" si="4"/>
        <v/>
      </c>
      <c r="J77" s="81"/>
    </row>
    <row r="78" spans="1:12" x14ac:dyDescent="0.25">
      <c r="B78" s="82"/>
      <c r="C78" s="8" t="s">
        <v>135</v>
      </c>
      <c r="H78" s="116">
        <v>85</v>
      </c>
      <c r="I78" s="81" t="str">
        <f t="shared" si="4"/>
        <v/>
      </c>
      <c r="J78" s="81"/>
    </row>
    <row r="79" spans="1:12" x14ac:dyDescent="0.25">
      <c r="B79" s="82">
        <v>1</v>
      </c>
      <c r="C79" s="8" t="s">
        <v>137</v>
      </c>
      <c r="H79" s="116">
        <v>25</v>
      </c>
      <c r="I79" s="81">
        <f t="shared" si="4"/>
        <v>25</v>
      </c>
      <c r="J79" s="81"/>
    </row>
    <row r="80" spans="1:12" x14ac:dyDescent="0.25">
      <c r="B80" s="82"/>
      <c r="C80" s="76" t="s">
        <v>67</v>
      </c>
      <c r="H80" s="77">
        <v>39</v>
      </c>
      <c r="I80" s="81" t="str">
        <f t="shared" si="4"/>
        <v/>
      </c>
      <c r="J80" s="81"/>
    </row>
    <row r="81" spans="1:10" x14ac:dyDescent="0.25">
      <c r="B81" s="82">
        <v>1</v>
      </c>
      <c r="C81" s="72" t="str">
        <f>'964'!C65</f>
        <v>Single Pulley Alternator Conversion</v>
      </c>
      <c r="D81" s="63">
        <v>98</v>
      </c>
      <c r="F81" s="63">
        <f t="shared" ref="F81:F94" si="5">IF(B81&gt;0,B81*D81,"")</f>
        <v>98</v>
      </c>
      <c r="H81" s="77">
        <f>'964'!H65</f>
        <v>139</v>
      </c>
      <c r="I81" s="81">
        <f t="shared" si="4"/>
        <v>139</v>
      </c>
      <c r="J81" s="81"/>
    </row>
    <row r="82" spans="1:10" x14ac:dyDescent="0.25">
      <c r="B82" s="82"/>
      <c r="C82" s="72" t="str">
        <f>'964'!C66</f>
        <v>Oil Breatther Line - Intake boot to oil filler neck on tank</v>
      </c>
      <c r="D82" s="63">
        <v>99</v>
      </c>
      <c r="F82" s="63" t="str">
        <f t="shared" ref="F82:F83" si="6">IF(B82&gt;0,B82*D82,"")</f>
        <v/>
      </c>
      <c r="H82" s="77">
        <f>'964'!H66</f>
        <v>48</v>
      </c>
      <c r="I82" s="81" t="str">
        <f t="shared" si="4"/>
        <v/>
      </c>
      <c r="J82" s="81"/>
    </row>
    <row r="83" spans="1:10" x14ac:dyDescent="0.25">
      <c r="B83" s="82"/>
      <c r="C83" s="72" t="str">
        <f>'964'!C67</f>
        <v>Oil Breatherr Line - Oil Console on engine to lower oil tank</v>
      </c>
      <c r="D83" s="63">
        <v>100</v>
      </c>
      <c r="F83" s="63" t="str">
        <f t="shared" si="6"/>
        <v/>
      </c>
      <c r="H83" s="77">
        <f>'964'!H67</f>
        <v>48</v>
      </c>
      <c r="I83" s="81" t="str">
        <f t="shared" si="4"/>
        <v/>
      </c>
      <c r="J83" s="81"/>
    </row>
    <row r="84" spans="1:10" x14ac:dyDescent="0.25">
      <c r="B84" s="82"/>
      <c r="C84" s="72" t="str">
        <f>'964'!C68</f>
        <v>Oil breather dual coupler kit with 8 euro clamps</v>
      </c>
      <c r="D84" s="63">
        <v>101</v>
      </c>
      <c r="F84" s="63" t="str">
        <f t="shared" ref="F84" si="7">IF(B84&gt;0,B84*D84,"")</f>
        <v/>
      </c>
      <c r="H84" s="77">
        <f>'964'!H68</f>
        <v>36</v>
      </c>
      <c r="I84" s="81" t="str">
        <f t="shared" si="4"/>
        <v/>
      </c>
      <c r="J84" s="81"/>
    </row>
    <row r="85" spans="1:10" x14ac:dyDescent="0.25">
      <c r="B85" s="82">
        <v>1</v>
      </c>
      <c r="C85" s="8" t="s">
        <v>215</v>
      </c>
      <c r="H85" s="77">
        <v>95</v>
      </c>
      <c r="I85" s="81">
        <f t="shared" si="4"/>
        <v>95</v>
      </c>
      <c r="J85" s="81"/>
    </row>
    <row r="86" spans="1:10" x14ac:dyDescent="0.25">
      <c r="B86" s="82">
        <v>1</v>
      </c>
      <c r="C86" s="8" t="s">
        <v>214</v>
      </c>
      <c r="H86" s="77">
        <v>65</v>
      </c>
      <c r="I86" s="81">
        <f t="shared" si="4"/>
        <v>65</v>
      </c>
      <c r="J86" s="81"/>
    </row>
    <row r="87" spans="1:10" x14ac:dyDescent="0.25">
      <c r="B87" s="82"/>
      <c r="C87" s="72" t="str">
        <f>'964'!C69</f>
        <v xml:space="preserve">New Bosch Motronic Fuel Pump Early car </v>
      </c>
      <c r="D87" s="63">
        <v>93</v>
      </c>
      <c r="F87" s="63" t="str">
        <f t="shared" si="5"/>
        <v/>
      </c>
      <c r="H87" s="77">
        <f>'964'!H69</f>
        <v>199</v>
      </c>
      <c r="I87" s="81" t="str">
        <f t="shared" si="4"/>
        <v/>
      </c>
      <c r="J87" s="81"/>
    </row>
    <row r="88" spans="1:10" x14ac:dyDescent="0.25">
      <c r="A88" s="73"/>
      <c r="B88" s="82"/>
      <c r="C88" s="72" t="str">
        <f>'964'!C70</f>
        <v>Fuel Line - to filter Inlet -w- barb connector  (Early cars only)</v>
      </c>
      <c r="D88" s="73"/>
      <c r="E88" s="73"/>
      <c r="F88" s="63" t="str">
        <f t="shared" si="5"/>
        <v/>
      </c>
      <c r="G88" s="73"/>
      <c r="H88" s="77">
        <f>'964'!H70</f>
        <v>55</v>
      </c>
      <c r="I88" s="81" t="str">
        <f t="shared" si="4"/>
        <v/>
      </c>
      <c r="J88" s="97"/>
    </row>
    <row r="89" spans="1:10" ht="37.5" x14ac:dyDescent="0.25">
      <c r="B89" s="96"/>
      <c r="C89" s="72" t="str">
        <f>'964'!C71</f>
        <v>Early Car Fuel Line Kit, 22' braided AN hose, 1 banjo -w- nut and crush rings, 3-16mm ball, 1-14mm ball 1-14bAN6+AN6-90, NET UPGRADE- Uses early SC filter</v>
      </c>
      <c r="D89" s="73"/>
      <c r="E89" s="73"/>
      <c r="G89" s="73"/>
      <c r="H89" s="77">
        <f>'964'!H71</f>
        <v>249</v>
      </c>
      <c r="I89" s="81" t="str">
        <f t="shared" si="4"/>
        <v/>
      </c>
      <c r="J89" s="81"/>
    </row>
    <row r="90" spans="1:10" ht="14.25" customHeight="1" x14ac:dyDescent="0.25">
      <c r="B90" s="82"/>
      <c r="C90" s="72" t="str">
        <f>'964'!C72</f>
        <v>915 Starter Ring Gear</v>
      </c>
      <c r="D90" s="73">
        <v>65</v>
      </c>
      <c r="E90" s="73"/>
      <c r="F90" s="63" t="str">
        <f t="shared" si="5"/>
        <v/>
      </c>
      <c r="H90" s="77">
        <f>'964'!H72</f>
        <v>145</v>
      </c>
      <c r="I90" s="81" t="str">
        <f t="shared" si="4"/>
        <v/>
      </c>
      <c r="J90" s="81"/>
    </row>
    <row r="91" spans="1:10" ht="14.25" customHeight="1" x14ac:dyDescent="0.25">
      <c r="B91" s="82"/>
      <c r="C91" s="72" t="str">
        <f>'964'!C73</f>
        <v>G50 Starter Ring Gear</v>
      </c>
      <c r="D91" s="73">
        <v>66</v>
      </c>
      <c r="E91" s="73"/>
      <c r="F91" s="63" t="str">
        <f t="shared" ref="F91" si="8">IF(B91&gt;0,B91*D91,"")</f>
        <v/>
      </c>
      <c r="H91" s="77">
        <f>'964'!H73</f>
        <v>160</v>
      </c>
      <c r="I91" s="81" t="str">
        <f t="shared" si="4"/>
        <v/>
      </c>
      <c r="J91" s="81"/>
    </row>
    <row r="92" spans="1:10" x14ac:dyDescent="0.25">
      <c r="B92" s="82">
        <v>1</v>
      </c>
      <c r="C92" s="72" t="s">
        <v>89</v>
      </c>
      <c r="D92" s="73">
        <v>30</v>
      </c>
      <c r="E92" s="73"/>
      <c r="F92" s="63">
        <f t="shared" si="5"/>
        <v>30</v>
      </c>
      <c r="H92" s="77">
        <v>125</v>
      </c>
      <c r="I92" s="81">
        <f t="shared" si="4"/>
        <v>125</v>
      </c>
      <c r="J92" s="81"/>
    </row>
    <row r="93" spans="1:10" x14ac:dyDescent="0.25">
      <c r="B93" s="82">
        <v>1</v>
      </c>
      <c r="C93" s="72" t="str">
        <f>'964'!C75</f>
        <v>Distributor Breather Hose Kit</v>
      </c>
      <c r="F93" s="63">
        <f t="shared" si="5"/>
        <v>0</v>
      </c>
      <c r="H93" s="116">
        <f>'964'!H75</f>
        <v>28</v>
      </c>
      <c r="I93" s="81">
        <f t="shared" si="4"/>
        <v>28</v>
      </c>
      <c r="J93" s="81"/>
    </row>
    <row r="94" spans="1:10" x14ac:dyDescent="0.25">
      <c r="B94" s="82"/>
      <c r="C94" s="72" t="str">
        <f>'964'!C76</f>
        <v>Replacement Factory Fan Belt</v>
      </c>
      <c r="F94" s="63" t="str">
        <f t="shared" si="5"/>
        <v/>
      </c>
      <c r="H94" s="116">
        <f>'964'!H76</f>
        <v>14</v>
      </c>
      <c r="I94" s="81" t="str">
        <f t="shared" si="4"/>
        <v/>
      </c>
      <c r="J94" s="81"/>
    </row>
    <row r="95" spans="1:10" x14ac:dyDescent="0.25">
      <c r="B95" s="82">
        <v>1</v>
      </c>
      <c r="C95" s="72" t="str">
        <f>'964'!C77</f>
        <v xml:space="preserve">Gates "Green Stripe" / Napa XL extreme duty belt - reccomended </v>
      </c>
      <c r="H95" s="116">
        <f>'964'!H77</f>
        <v>29</v>
      </c>
      <c r="I95" s="81">
        <f t="shared" si="4"/>
        <v>29</v>
      </c>
      <c r="J95" s="81"/>
    </row>
    <row r="96" spans="1:10" x14ac:dyDescent="0.25">
      <c r="B96" s="82"/>
      <c r="C96" s="76" t="str">
        <f>'964'!C78</f>
        <v>"S" Hose - tank to feed line - NOTE Used not reccomended!</v>
      </c>
      <c r="D96" s="63">
        <f>'964'!D78</f>
        <v>12</v>
      </c>
      <c r="E96" s="63">
        <f>'964'!E78</f>
        <v>12</v>
      </c>
      <c r="F96" s="63" t="str">
        <f>'964'!F78</f>
        <v/>
      </c>
      <c r="H96" s="77">
        <v>29</v>
      </c>
      <c r="I96" s="81" t="str">
        <f t="shared" si="4"/>
        <v/>
      </c>
    </row>
    <row r="97" spans="1:13" x14ac:dyDescent="0.25">
      <c r="B97" s="82"/>
      <c r="C97" s="76" t="str">
        <f>'964'!C79</f>
        <v>Factory Scavenge Oil SSI Line 1 (?)       Engine Case to "J" Line</v>
      </c>
      <c r="D97" s="63">
        <f>'964'!D79</f>
        <v>95</v>
      </c>
      <c r="E97" s="63">
        <f>'964'!E79</f>
        <v>95</v>
      </c>
      <c r="F97" s="63" t="str">
        <f>'964'!F79</f>
        <v/>
      </c>
      <c r="H97" s="77">
        <v>115</v>
      </c>
      <c r="I97" s="81" t="str">
        <f t="shared" si="4"/>
        <v/>
      </c>
    </row>
    <row r="98" spans="1:13" x14ac:dyDescent="0.25">
      <c r="B98" s="82"/>
      <c r="C98" s="76" t="str">
        <f>'964'!C80</f>
        <v>Factory Scavenge Oil SSI Line 2 (J)         "?"  to thermostat</v>
      </c>
      <c r="D98" s="63">
        <f>'964'!D80</f>
        <v>105</v>
      </c>
      <c r="E98" s="63">
        <f>'964'!E80</f>
        <v>105</v>
      </c>
      <c r="F98" s="63" t="str">
        <f>'964'!F80</f>
        <v/>
      </c>
      <c r="H98" s="77">
        <v>98</v>
      </c>
      <c r="I98" s="81" t="str">
        <f t="shared" si="4"/>
        <v/>
      </c>
      <c r="J98" s="80"/>
    </row>
    <row r="99" spans="1:13" x14ac:dyDescent="0.25">
      <c r="A99" s="63" t="s">
        <v>41</v>
      </c>
      <c r="B99" s="82"/>
      <c r="C99" s="98"/>
      <c r="D99" s="82"/>
      <c r="E99" s="99"/>
      <c r="G99" s="82"/>
      <c r="H99" s="117"/>
      <c r="I99" s="81" t="str">
        <f t="shared" si="4"/>
        <v/>
      </c>
      <c r="J99" s="81"/>
    </row>
    <row r="100" spans="1:13" x14ac:dyDescent="0.25">
      <c r="B100" s="82"/>
      <c r="C100" s="98"/>
      <c r="D100" s="82"/>
      <c r="E100" s="99"/>
      <c r="G100" s="82"/>
      <c r="H100" s="117"/>
      <c r="I100" s="81" t="str">
        <f t="shared" si="4"/>
        <v/>
      </c>
      <c r="J100" s="81"/>
    </row>
    <row r="101" spans="1:13" x14ac:dyDescent="0.25">
      <c r="B101" s="82"/>
      <c r="C101" s="98"/>
      <c r="D101" s="82"/>
      <c r="E101" s="99"/>
      <c r="G101" s="82"/>
      <c r="H101" s="117"/>
      <c r="I101" s="81" t="str">
        <f t="shared" si="4"/>
        <v/>
      </c>
      <c r="J101" s="81"/>
    </row>
    <row r="102" spans="1:13" x14ac:dyDescent="0.25">
      <c r="B102" s="82"/>
      <c r="C102" s="100"/>
      <c r="D102" s="82"/>
      <c r="E102" s="99"/>
      <c r="G102" s="82"/>
      <c r="H102" s="117"/>
      <c r="I102" s="81" t="str">
        <f t="shared" si="4"/>
        <v/>
      </c>
      <c r="J102" s="81"/>
    </row>
    <row r="103" spans="1:13" x14ac:dyDescent="0.25">
      <c r="B103" s="82"/>
      <c r="C103" s="100"/>
      <c r="D103" s="82"/>
      <c r="E103" s="99"/>
      <c r="G103" s="82"/>
      <c r="H103" s="117"/>
      <c r="I103" s="81" t="str">
        <f t="shared" si="4"/>
        <v/>
      </c>
      <c r="J103" s="81"/>
    </row>
    <row r="104" spans="1:13" ht="13" thickBot="1" x14ac:dyDescent="0.3">
      <c r="B104" s="82"/>
      <c r="C104" s="100"/>
      <c r="D104" s="82"/>
      <c r="E104" s="99"/>
      <c r="G104" s="82"/>
      <c r="H104" s="117"/>
      <c r="I104" s="81" t="str">
        <f t="shared" si="4"/>
        <v/>
      </c>
      <c r="J104" s="81"/>
    </row>
    <row r="105" spans="1:13" ht="13" thickBot="1" x14ac:dyDescent="0.3">
      <c r="F105" s="63" t="str">
        <f>IF(B105&gt;0,B105*D105,"")</f>
        <v/>
      </c>
      <c r="G105" s="87">
        <f>SUM(F75:F104)</f>
        <v>128</v>
      </c>
      <c r="H105" s="80"/>
      <c r="I105" s="91"/>
      <c r="J105" s="77">
        <f>SUM(I75:I104)</f>
        <v>506</v>
      </c>
    </row>
    <row r="106" spans="1:13" ht="13.5" thickBot="1" x14ac:dyDescent="0.35">
      <c r="A106" s="101" t="s">
        <v>28</v>
      </c>
      <c r="B106" s="85"/>
      <c r="C106" s="86"/>
      <c r="D106" s="87"/>
      <c r="F106" s="63" t="str">
        <f>IF(B106&gt;0,B106*D106,"")</f>
        <v/>
      </c>
      <c r="H106" s="88"/>
      <c r="I106" s="88"/>
      <c r="J106" s="88"/>
      <c r="K106" s="102">
        <f>SUM(J54:J105)</f>
        <v>3144</v>
      </c>
    </row>
    <row r="107" spans="1:13" x14ac:dyDescent="0.25">
      <c r="F107" s="63" t="str">
        <f>IF(B107&gt;0,B107*D107,"")</f>
        <v/>
      </c>
    </row>
    <row r="108" spans="1:13" x14ac:dyDescent="0.25">
      <c r="F108" s="63" t="str">
        <f>IF(B108&gt;0,B108*D108,"")</f>
        <v/>
      </c>
      <c r="H108" s="80"/>
      <c r="I108" s="91"/>
      <c r="J108" s="80"/>
      <c r="K108" s="93"/>
    </row>
    <row r="109" spans="1:13" ht="13" x14ac:dyDescent="0.3">
      <c r="A109" s="71" t="s">
        <v>26</v>
      </c>
      <c r="C109" s="76"/>
      <c r="I109" s="81" t="str">
        <f t="shared" ref="I109:I120" si="9">IF(B109&gt;0,B109*H109,"")</f>
        <v/>
      </c>
      <c r="J109" s="81"/>
    </row>
    <row r="110" spans="1:13" x14ac:dyDescent="0.25">
      <c r="B110" s="82"/>
      <c r="C110" t="s">
        <v>59</v>
      </c>
      <c r="H110" s="77">
        <v>1895</v>
      </c>
      <c r="I110" s="81" t="str">
        <f t="shared" si="9"/>
        <v/>
      </c>
      <c r="J110" s="81"/>
    </row>
    <row r="111" spans="1:13" x14ac:dyDescent="0.25">
      <c r="B111" s="82"/>
      <c r="C111" t="s">
        <v>58</v>
      </c>
      <c r="D111" s="63">
        <v>1650</v>
      </c>
      <c r="F111" s="63" t="str">
        <f>IF(B111&gt;0,B111*D111,"")</f>
        <v/>
      </c>
      <c r="H111" s="77">
        <v>2995</v>
      </c>
      <c r="I111" s="81" t="str">
        <f t="shared" si="9"/>
        <v/>
      </c>
      <c r="J111" s="81"/>
      <c r="M111" s="63">
        <v>1</v>
      </c>
    </row>
    <row r="112" spans="1:13" x14ac:dyDescent="0.25">
      <c r="B112" s="82"/>
      <c r="C112" s="114" t="s">
        <v>202</v>
      </c>
      <c r="H112" s="77">
        <v>199</v>
      </c>
      <c r="I112" s="81" t="str">
        <f t="shared" si="9"/>
        <v/>
      </c>
      <c r="J112" s="81"/>
    </row>
    <row r="113" spans="1:11" x14ac:dyDescent="0.25">
      <c r="B113" s="82"/>
      <c r="C113" s="113" t="s">
        <v>201</v>
      </c>
      <c r="D113" s="63">
        <v>73</v>
      </c>
      <c r="F113" s="63" t="str">
        <f>IF(B113&gt;0,B113*D113,"")</f>
        <v/>
      </c>
      <c r="H113" s="77">
        <v>150</v>
      </c>
      <c r="I113" s="81" t="str">
        <f t="shared" si="9"/>
        <v/>
      </c>
      <c r="J113" s="91"/>
    </row>
    <row r="114" spans="1:11" x14ac:dyDescent="0.25">
      <c r="B114" s="82"/>
      <c r="C114" s="76" t="s">
        <v>62</v>
      </c>
      <c r="H114" s="77" t="str">
        <f>'964'!H96</f>
        <v>included</v>
      </c>
      <c r="I114" s="81" t="str">
        <f t="shared" si="9"/>
        <v/>
      </c>
      <c r="J114" s="81"/>
    </row>
    <row r="115" spans="1:11" x14ac:dyDescent="0.25">
      <c r="B115" s="82"/>
      <c r="C115" s="76" t="s">
        <v>63</v>
      </c>
      <c r="H115" s="77">
        <f>'964'!H97</f>
        <v>395</v>
      </c>
      <c r="I115" s="81" t="str">
        <f t="shared" si="9"/>
        <v/>
      </c>
      <c r="J115" s="81"/>
    </row>
    <row r="116" spans="1:11" x14ac:dyDescent="0.25">
      <c r="B116" s="82"/>
      <c r="C116" s="76" t="s">
        <v>64</v>
      </c>
      <c r="H116" s="77">
        <f>'964'!H98</f>
        <v>495</v>
      </c>
      <c r="I116" s="81" t="str">
        <f t="shared" si="9"/>
        <v/>
      </c>
      <c r="J116" s="91"/>
    </row>
    <row r="117" spans="1:11" x14ac:dyDescent="0.25">
      <c r="B117" s="82"/>
      <c r="C117" t="s">
        <v>60</v>
      </c>
      <c r="D117" s="63">
        <v>50</v>
      </c>
      <c r="F117" s="63" t="str">
        <f>IF(B117&gt;0,B117*D117,"")</f>
        <v/>
      </c>
      <c r="H117" s="77">
        <f>'964'!H102</f>
        <v>1195</v>
      </c>
      <c r="I117" s="81" t="str">
        <f t="shared" si="9"/>
        <v/>
      </c>
      <c r="J117" s="81"/>
    </row>
    <row r="118" spans="1:11" ht="15" customHeight="1" x14ac:dyDescent="0.25">
      <c r="B118" s="82"/>
      <c r="C118" t="s">
        <v>86</v>
      </c>
      <c r="H118" s="77">
        <f>'964'!H103</f>
        <v>199</v>
      </c>
      <c r="I118" s="81" t="str">
        <f t="shared" si="9"/>
        <v/>
      </c>
      <c r="J118" s="81"/>
    </row>
    <row r="119" spans="1:11" ht="15" customHeight="1" x14ac:dyDescent="0.25">
      <c r="B119" s="82"/>
      <c r="C119" s="76" t="s">
        <v>84</v>
      </c>
      <c r="H119" s="77">
        <f>'964'!H101</f>
        <v>139</v>
      </c>
      <c r="I119" s="81" t="str">
        <f t="shared" si="9"/>
        <v/>
      </c>
      <c r="J119" s="81"/>
    </row>
    <row r="120" spans="1:11" ht="15" customHeight="1" thickBot="1" x14ac:dyDescent="0.3">
      <c r="B120" s="82"/>
      <c r="C120" t="s">
        <v>66</v>
      </c>
      <c r="H120" s="77">
        <f>'964'!H104</f>
        <v>350</v>
      </c>
      <c r="I120" s="81" t="str">
        <f t="shared" si="9"/>
        <v/>
      </c>
      <c r="J120" s="81"/>
    </row>
    <row r="121" spans="1:11" ht="13.5" thickBot="1" x14ac:dyDescent="0.35">
      <c r="A121" s="101" t="s">
        <v>30</v>
      </c>
      <c r="B121" s="103"/>
      <c r="C121" s="87"/>
      <c r="D121" s="87"/>
      <c r="F121" s="63" t="str">
        <f t="shared" ref="F121:F135" si="10">IF(B121&gt;0,B121*D121,"")</f>
        <v/>
      </c>
      <c r="G121" s="87">
        <f>SUM(F109:F116)</f>
        <v>0</v>
      </c>
      <c r="H121" s="88"/>
      <c r="I121" s="87"/>
      <c r="J121" s="88"/>
      <c r="K121" s="89">
        <f>SUM(I109:I120)</f>
        <v>0</v>
      </c>
    </row>
    <row r="122" spans="1:11" x14ac:dyDescent="0.25">
      <c r="B122" s="63"/>
      <c r="F122" s="63" t="str">
        <f t="shared" si="10"/>
        <v/>
      </c>
      <c r="I122" s="81"/>
      <c r="J122" s="81"/>
    </row>
    <row r="123" spans="1:11" ht="25" x14ac:dyDescent="0.25">
      <c r="A123" s="215" t="s">
        <v>155</v>
      </c>
      <c r="B123" s="112"/>
      <c r="C123" s="9" t="s">
        <v>156</v>
      </c>
      <c r="D123"/>
      <c r="E123"/>
      <c r="F123" t="s">
        <v>124</v>
      </c>
      <c r="G123"/>
      <c r="H123" s="122">
        <v>895</v>
      </c>
      <c r="I123" s="81" t="str">
        <f t="shared" ref="I123:I134" si="11">IF(B123&gt;0,B123*H123,"")</f>
        <v/>
      </c>
      <c r="J123" s="80"/>
      <c r="K123" s="80"/>
    </row>
    <row r="124" spans="1:11" ht="25" x14ac:dyDescent="0.25">
      <c r="A124" s="215"/>
      <c r="B124" s="27"/>
      <c r="C124" s="8" t="s">
        <v>218</v>
      </c>
      <c r="D124"/>
      <c r="E124"/>
      <c r="F124"/>
      <c r="G124"/>
      <c r="H124" s="129">
        <v>995</v>
      </c>
      <c r="I124" s="81" t="str">
        <f t="shared" si="11"/>
        <v/>
      </c>
      <c r="J124" s="80"/>
      <c r="K124" s="80"/>
    </row>
    <row r="125" spans="1:11" ht="25" x14ac:dyDescent="0.25">
      <c r="A125" s="215"/>
      <c r="B125" s="27"/>
      <c r="C125" s="8" t="s">
        <v>219</v>
      </c>
      <c r="D125"/>
      <c r="E125"/>
      <c r="F125"/>
      <c r="G125"/>
      <c r="H125" s="129">
        <v>1395</v>
      </c>
      <c r="I125" s="81"/>
      <c r="J125" s="80"/>
      <c r="K125" s="80"/>
    </row>
    <row r="126" spans="1:11" x14ac:dyDescent="0.25">
      <c r="A126" s="215"/>
      <c r="B126" s="27"/>
      <c r="C126" s="9" t="s">
        <v>184</v>
      </c>
      <c r="D126"/>
      <c r="E126"/>
      <c r="F126"/>
      <c r="G126"/>
      <c r="H126" s="122">
        <v>995</v>
      </c>
      <c r="I126" s="81" t="str">
        <f t="shared" si="11"/>
        <v/>
      </c>
      <c r="J126" s="80"/>
      <c r="K126" s="80"/>
    </row>
    <row r="127" spans="1:11" ht="25" x14ac:dyDescent="0.25">
      <c r="A127" s="215"/>
      <c r="B127" s="27"/>
      <c r="C127" s="9" t="s">
        <v>185</v>
      </c>
      <c r="D127"/>
      <c r="E127"/>
      <c r="F127" t="s">
        <v>124</v>
      </c>
      <c r="G127"/>
      <c r="H127" s="122">
        <v>995</v>
      </c>
      <c r="I127" s="81" t="str">
        <f t="shared" si="11"/>
        <v/>
      </c>
      <c r="J127" s="80"/>
      <c r="K127" s="80"/>
    </row>
    <row r="128" spans="1:11" x14ac:dyDescent="0.25">
      <c r="A128" s="215"/>
      <c r="B128" s="27"/>
      <c r="C128" s="8" t="s">
        <v>154</v>
      </c>
      <c r="D128"/>
      <c r="E128"/>
      <c r="F128" t="s">
        <v>124</v>
      </c>
      <c r="G128"/>
      <c r="H128" s="122">
        <v>1495</v>
      </c>
      <c r="I128" s="81" t="str">
        <f t="shared" si="11"/>
        <v/>
      </c>
      <c r="J128" s="80"/>
      <c r="K128" s="80"/>
    </row>
    <row r="129" spans="1:11" ht="25" x14ac:dyDescent="0.25">
      <c r="A129" s="215"/>
      <c r="B129" s="27"/>
      <c r="C129" s="9" t="s">
        <v>138</v>
      </c>
      <c r="D129"/>
      <c r="E129"/>
      <c r="F129"/>
      <c r="G129"/>
      <c r="H129" s="122">
        <v>1295</v>
      </c>
      <c r="I129" s="81" t="str">
        <f t="shared" si="11"/>
        <v/>
      </c>
      <c r="J129" s="80"/>
      <c r="K129" s="80"/>
    </row>
    <row r="130" spans="1:11" ht="25" x14ac:dyDescent="0.25">
      <c r="A130" s="215"/>
      <c r="B130" s="27"/>
      <c r="C130" s="113" t="s">
        <v>217</v>
      </c>
      <c r="D130"/>
      <c r="E130"/>
      <c r="F130"/>
      <c r="G130"/>
      <c r="H130" s="129">
        <v>1595</v>
      </c>
      <c r="I130" s="81" t="str">
        <f t="shared" si="11"/>
        <v/>
      </c>
      <c r="J130" s="80"/>
      <c r="K130" s="80"/>
    </row>
    <row r="131" spans="1:11" ht="25" x14ac:dyDescent="0.25">
      <c r="A131" s="181"/>
      <c r="B131" s="27"/>
      <c r="C131" s="113" t="s">
        <v>216</v>
      </c>
      <c r="D131"/>
      <c r="E131"/>
      <c r="F131"/>
      <c r="G131"/>
      <c r="H131" s="129">
        <v>2395</v>
      </c>
      <c r="I131" s="81"/>
      <c r="J131" s="80"/>
      <c r="K131" s="80"/>
    </row>
    <row r="132" spans="1:11" ht="25" x14ac:dyDescent="0.25">
      <c r="A132" s="181"/>
      <c r="B132" s="27"/>
      <c r="C132" s="113" t="s">
        <v>220</v>
      </c>
      <c r="D132"/>
      <c r="E132"/>
      <c r="F132"/>
      <c r="G132"/>
      <c r="H132" s="129">
        <v>2650</v>
      </c>
      <c r="I132" s="81"/>
      <c r="J132" s="80"/>
      <c r="K132" s="80"/>
    </row>
    <row r="133" spans="1:11" ht="25" x14ac:dyDescent="0.25">
      <c r="A133" s="216" t="s">
        <v>157</v>
      </c>
      <c r="B133" s="27"/>
      <c r="C133" s="9" t="s">
        <v>153</v>
      </c>
      <c r="D133"/>
      <c r="E133"/>
      <c r="F133" t="s">
        <v>124</v>
      </c>
      <c r="G133"/>
      <c r="H133" s="122">
        <v>395</v>
      </c>
      <c r="I133" s="81" t="str">
        <f t="shared" si="11"/>
        <v/>
      </c>
      <c r="J133" s="80"/>
      <c r="K133" s="80"/>
    </row>
    <row r="134" spans="1:11" ht="25.5" thickBot="1" x14ac:dyDescent="0.3">
      <c r="A134" s="216"/>
      <c r="B134" s="27"/>
      <c r="C134" s="9" t="s">
        <v>158</v>
      </c>
      <c r="D134"/>
      <c r="E134"/>
      <c r="F134"/>
      <c r="G134"/>
      <c r="H134" s="129">
        <v>199</v>
      </c>
      <c r="I134" s="81" t="str">
        <f t="shared" si="11"/>
        <v/>
      </c>
      <c r="J134" s="80"/>
      <c r="K134" s="80"/>
    </row>
    <row r="135" spans="1:11" ht="13.5" thickBot="1" x14ac:dyDescent="0.35">
      <c r="A135" s="101" t="s">
        <v>57</v>
      </c>
      <c r="B135" s="87"/>
      <c r="C135" s="87"/>
      <c r="D135" s="87"/>
      <c r="F135" s="63" t="str">
        <f t="shared" si="10"/>
        <v/>
      </c>
      <c r="G135" s="87">
        <f>SUM(F122:F134)</f>
        <v>0</v>
      </c>
      <c r="H135" s="88"/>
      <c r="I135" s="87"/>
      <c r="J135" s="88"/>
      <c r="K135" s="89">
        <f>SUM(I123:I134)</f>
        <v>0</v>
      </c>
    </row>
    <row r="136" spans="1:11" ht="13" x14ac:dyDescent="0.3">
      <c r="A136" s="71"/>
      <c r="B136" s="63"/>
      <c r="C136" s="63"/>
      <c r="H136" s="80"/>
      <c r="I136" s="63"/>
      <c r="J136" s="80"/>
      <c r="K136" s="80"/>
    </row>
    <row r="137" spans="1:11" ht="13" x14ac:dyDescent="0.25">
      <c r="A137" s="131" t="s">
        <v>144</v>
      </c>
      <c r="B137" s="27" t="str">
        <f>IF(AND(CONDITION="USED",ENGINE="95"),1,"")</f>
        <v/>
      </c>
      <c r="C137" s="9" t="s">
        <v>143</v>
      </c>
      <c r="H137" s="115">
        <v>26990</v>
      </c>
      <c r="I137" s="81" t="str">
        <f t="shared" ref="I137:I143" si="12">IF(B137=1,B137*H137,"")</f>
        <v/>
      </c>
      <c r="J137" s="80"/>
      <c r="K137" s="80"/>
    </row>
    <row r="138" spans="1:11" ht="25.5" x14ac:dyDescent="0.25">
      <c r="A138" s="131" t="s">
        <v>145</v>
      </c>
      <c r="B138" s="27" t="str">
        <f>IF(AND(CONDITION="USED",ENGINE="VRUS"),1,"")</f>
        <v/>
      </c>
      <c r="C138" s="113" t="s">
        <v>213</v>
      </c>
      <c r="D138"/>
      <c r="E138"/>
      <c r="F138"/>
      <c r="G138"/>
      <c r="H138" s="115">
        <f>H137+3000</f>
        <v>29990</v>
      </c>
      <c r="I138" s="81" t="str">
        <f t="shared" si="12"/>
        <v/>
      </c>
      <c r="J138" s="80"/>
      <c r="K138" s="80"/>
    </row>
    <row r="139" spans="1:11" ht="13" x14ac:dyDescent="0.3">
      <c r="A139" s="131" t="s">
        <v>145</v>
      </c>
      <c r="B139" s="27" t="str">
        <f>IF(AND(CONDITION="USED",ENGINE="VREURO"),1,"")</f>
        <v/>
      </c>
      <c r="C139" s="9" t="s">
        <v>148</v>
      </c>
      <c r="D139"/>
      <c r="E139"/>
      <c r="F139"/>
      <c r="G139"/>
      <c r="H139" s="115">
        <f>H138+2000</f>
        <v>31990</v>
      </c>
      <c r="I139" s="81" t="str">
        <f t="shared" si="12"/>
        <v/>
      </c>
      <c r="J139" s="80"/>
      <c r="K139" s="80"/>
    </row>
    <row r="140" spans="1:11" ht="25" x14ac:dyDescent="0.25">
      <c r="A140" s="131" t="s">
        <v>146</v>
      </c>
      <c r="B140" s="27" t="str">
        <f>IF(AND(CONDITION="TOP",ENGINE="95"),1,"")</f>
        <v/>
      </c>
      <c r="C140" s="9" t="s">
        <v>149</v>
      </c>
      <c r="D140">
        <v>6000</v>
      </c>
      <c r="E140"/>
      <c r="F140"/>
      <c r="G140"/>
      <c r="H140" s="115">
        <f>H137+D140</f>
        <v>32990</v>
      </c>
      <c r="I140" s="81" t="str">
        <f t="shared" si="12"/>
        <v/>
      </c>
      <c r="J140" s="80"/>
      <c r="K140" s="80"/>
    </row>
    <row r="141" spans="1:11" ht="25.5" x14ac:dyDescent="0.25">
      <c r="A141" s="131" t="s">
        <v>146</v>
      </c>
      <c r="B141" s="27" t="str">
        <f>IF(AND(CONDITION="TOP",ENGINE="VRUS"),1,"")</f>
        <v/>
      </c>
      <c r="C141" s="9" t="s">
        <v>182</v>
      </c>
      <c r="D141"/>
      <c r="E141"/>
      <c r="F141"/>
      <c r="G141"/>
      <c r="H141" s="115">
        <f>H138+5000</f>
        <v>34990</v>
      </c>
      <c r="I141" s="81" t="str">
        <f t="shared" si="12"/>
        <v/>
      </c>
      <c r="J141" s="91"/>
      <c r="K141" s="81"/>
    </row>
    <row r="142" spans="1:11" ht="38.5" x14ac:dyDescent="0.25">
      <c r="A142" s="131" t="s">
        <v>146</v>
      </c>
      <c r="B142" s="27" t="str">
        <f>IF(AND(CONDITION="TOP",ENGINE="VREURO"),1,"")</f>
        <v/>
      </c>
      <c r="C142" s="9" t="s">
        <v>151</v>
      </c>
      <c r="D142"/>
      <c r="E142"/>
      <c r="F142"/>
      <c r="G142"/>
      <c r="H142" s="115">
        <f>H139+5000</f>
        <v>36990</v>
      </c>
      <c r="I142" s="81" t="str">
        <f t="shared" si="12"/>
        <v/>
      </c>
      <c r="J142" s="91"/>
      <c r="K142" s="81"/>
    </row>
    <row r="143" spans="1:11" ht="39" x14ac:dyDescent="0.3">
      <c r="A143" s="131" t="s">
        <v>147</v>
      </c>
      <c r="B143" s="27" t="str">
        <f>IF(AND(CONDITION="FULL",ENGINE="95V"),1,"")</f>
        <v/>
      </c>
      <c r="C143" s="9" t="s">
        <v>152</v>
      </c>
      <c r="D143">
        <v>6000</v>
      </c>
      <c r="E143"/>
      <c r="F143"/>
      <c r="G143"/>
      <c r="H143" s="115">
        <f>H140+3000</f>
        <v>35990</v>
      </c>
      <c r="I143" s="81" t="str">
        <f t="shared" si="12"/>
        <v/>
      </c>
      <c r="J143" s="91"/>
      <c r="K143" s="81"/>
    </row>
    <row r="144" spans="1:11" ht="38" x14ac:dyDescent="0.25">
      <c r="A144" s="131" t="s">
        <v>147</v>
      </c>
      <c r="B144" s="27" t="str">
        <f>IF(AND(CONDITION="FULL",ENGINE="VRUS"),1,"")</f>
        <v/>
      </c>
      <c r="C144" s="9" t="s">
        <v>183</v>
      </c>
      <c r="D144"/>
      <c r="E144"/>
      <c r="F144"/>
      <c r="G144"/>
      <c r="H144" s="115">
        <f t="shared" ref="H144:H145" si="13">H141+3000</f>
        <v>37990</v>
      </c>
      <c r="I144" s="81" t="str">
        <f>IF(B144=1,B144*H144,"")</f>
        <v/>
      </c>
      <c r="J144" s="91"/>
      <c r="K144" s="81"/>
    </row>
    <row r="145" spans="1:11" ht="38" x14ac:dyDescent="0.25">
      <c r="A145" s="131" t="s">
        <v>147</v>
      </c>
      <c r="B145" s="27" t="str">
        <f>IF(AND(CONDITION="FULL",ENGINE="VREURO"),1,"")</f>
        <v/>
      </c>
      <c r="C145" s="9" t="s">
        <v>150</v>
      </c>
      <c r="D145"/>
      <c r="E145"/>
      <c r="F145"/>
      <c r="G145"/>
      <c r="H145" s="115">
        <f t="shared" si="13"/>
        <v>39990</v>
      </c>
      <c r="I145" s="81" t="str">
        <f>IF(B145=1,B145*H145,"")</f>
        <v/>
      </c>
      <c r="J145" s="91"/>
      <c r="K145" s="81"/>
    </row>
    <row r="146" spans="1:11" x14ac:dyDescent="0.25">
      <c r="B146" s="27">
        <v>1</v>
      </c>
      <c r="C146" s="76" t="s">
        <v>53</v>
      </c>
      <c r="H146" s="118"/>
      <c r="I146" s="104"/>
      <c r="J146" s="91"/>
      <c r="K146" s="81"/>
    </row>
    <row r="147" spans="1:11" x14ac:dyDescent="0.25">
      <c r="B147" s="95">
        <f>B146</f>
        <v>1</v>
      </c>
      <c r="C147" s="72" t="s">
        <v>52</v>
      </c>
      <c r="H147" s="118"/>
      <c r="I147" s="104"/>
      <c r="J147" s="91"/>
      <c r="K147" s="81"/>
    </row>
    <row r="148" spans="1:11" x14ac:dyDescent="0.25">
      <c r="B148" s="95" t="str">
        <f>IF(OR(B140=1,B142=1,B145=1),1,"")</f>
        <v/>
      </c>
      <c r="C148" s="76" t="s">
        <v>90</v>
      </c>
      <c r="H148" s="118"/>
      <c r="I148" s="104"/>
      <c r="J148" s="91"/>
      <c r="K148" s="81"/>
    </row>
    <row r="149" spans="1:11" ht="13" thickBot="1" x14ac:dyDescent="0.3">
      <c r="F149" s="63" t="str">
        <f t="shared" ref="F149:F150" si="14">IF(B149&gt;0,B149*D149,"")</f>
        <v/>
      </c>
      <c r="H149" s="80"/>
      <c r="I149" s="91"/>
      <c r="J149" s="91"/>
      <c r="K149" s="91"/>
    </row>
    <row r="150" spans="1:11" ht="13.5" thickBot="1" x14ac:dyDescent="0.35">
      <c r="A150" s="101" t="s">
        <v>29</v>
      </c>
      <c r="B150" s="85"/>
      <c r="C150" s="86"/>
      <c r="D150" s="87"/>
      <c r="F150" s="63" t="str">
        <f t="shared" si="14"/>
        <v/>
      </c>
      <c r="G150" s="87"/>
      <c r="H150" s="88"/>
      <c r="I150" s="105"/>
      <c r="J150" s="88"/>
      <c r="K150" s="106">
        <f>SUM(I137:I145)</f>
        <v>0</v>
      </c>
    </row>
    <row r="151" spans="1:11" ht="13" x14ac:dyDescent="0.3">
      <c r="F151" s="63" t="str">
        <f t="shared" ref="F151:F161" si="15">IF(B151&gt;0,B151*D151,"")</f>
        <v/>
      </c>
      <c r="K151" s="83"/>
    </row>
    <row r="152" spans="1:11" ht="13" x14ac:dyDescent="0.3">
      <c r="A152" s="71" t="s">
        <v>21</v>
      </c>
      <c r="B152" s="82">
        <v>1</v>
      </c>
      <c r="C152" s="72" t="s">
        <v>43</v>
      </c>
      <c r="F152" s="63">
        <f t="shared" si="15"/>
        <v>0</v>
      </c>
      <c r="H152" s="117"/>
      <c r="I152" s="81">
        <f>IF(B152&gt;0,B152*H152,"")</f>
        <v>0</v>
      </c>
    </row>
    <row r="153" spans="1:11" x14ac:dyDescent="0.25">
      <c r="B153" s="82"/>
      <c r="C153" s="72" t="s">
        <v>56</v>
      </c>
      <c r="F153" s="63" t="str">
        <f t="shared" si="15"/>
        <v/>
      </c>
      <c r="H153" s="117"/>
      <c r="I153" s="81" t="str">
        <f>IF(B153&gt;0,B153*H153,"")</f>
        <v/>
      </c>
      <c r="J153" s="81"/>
    </row>
    <row r="154" spans="1:11" x14ac:dyDescent="0.25">
      <c r="B154" s="82"/>
      <c r="C154" s="72" t="s">
        <v>55</v>
      </c>
      <c r="F154" s="63" t="str">
        <f t="shared" si="15"/>
        <v/>
      </c>
      <c r="H154" s="119">
        <v>55</v>
      </c>
      <c r="I154" s="81"/>
      <c r="J154" s="81"/>
    </row>
    <row r="155" spans="1:11" x14ac:dyDescent="0.25">
      <c r="B155" s="82"/>
      <c r="C155" s="72" t="s">
        <v>19</v>
      </c>
      <c r="F155" s="63" t="str">
        <f t="shared" si="15"/>
        <v/>
      </c>
      <c r="H155" s="77">
        <v>35</v>
      </c>
      <c r="I155" s="81" t="str">
        <f>IF(B155&gt;0,B155*H155,"")</f>
        <v/>
      </c>
      <c r="J155" s="81"/>
    </row>
    <row r="156" spans="1:11" ht="13" thickBot="1" x14ac:dyDescent="0.3">
      <c r="B156" s="82"/>
      <c r="C156" s="72" t="s">
        <v>20</v>
      </c>
      <c r="F156" s="63" t="str">
        <f t="shared" si="15"/>
        <v/>
      </c>
      <c r="H156" s="77">
        <v>65</v>
      </c>
      <c r="I156" s="81" t="str">
        <f>IF(B156&gt;0,B156*H156,"")</f>
        <v/>
      </c>
      <c r="J156" s="81"/>
    </row>
    <row r="157" spans="1:11" ht="13.5" thickBot="1" x14ac:dyDescent="0.35">
      <c r="A157" s="101" t="s">
        <v>44</v>
      </c>
      <c r="B157" s="85"/>
      <c r="C157" s="86"/>
      <c r="D157" s="87"/>
      <c r="F157" s="63" t="str">
        <f t="shared" si="15"/>
        <v/>
      </c>
      <c r="G157" s="87"/>
      <c r="H157" s="88"/>
      <c r="I157" s="88"/>
      <c r="J157" s="88"/>
      <c r="K157" s="106">
        <f>SUM(I152:I156)</f>
        <v>0</v>
      </c>
    </row>
    <row r="158" spans="1:11" ht="13" thickBot="1" x14ac:dyDescent="0.3">
      <c r="F158" s="63" t="str">
        <f t="shared" si="15"/>
        <v/>
      </c>
    </row>
    <row r="159" spans="1:11" ht="13.5" thickBot="1" x14ac:dyDescent="0.35">
      <c r="B159" s="63"/>
      <c r="C159" s="63"/>
      <c r="F159" s="63" t="str">
        <f t="shared" si="15"/>
        <v/>
      </c>
      <c r="G159" s="63">
        <f>SUM(F30:F157)</f>
        <v>1938</v>
      </c>
      <c r="K159" s="107">
        <f>SUM(K106:K157)</f>
        <v>3144</v>
      </c>
    </row>
    <row r="160" spans="1:11" x14ac:dyDescent="0.25">
      <c r="F160" s="63" t="str">
        <f t="shared" si="15"/>
        <v/>
      </c>
    </row>
    <row r="161" spans="2:11" x14ac:dyDescent="0.25">
      <c r="B161" s="82"/>
      <c r="C161" s="72" t="s">
        <v>94</v>
      </c>
      <c r="F161" s="63" t="str">
        <f t="shared" si="15"/>
        <v/>
      </c>
      <c r="K161" s="63" t="str">
        <f>IF(B161=1,B161*0.03,"")</f>
        <v/>
      </c>
    </row>
    <row r="162" spans="2:11" x14ac:dyDescent="0.25">
      <c r="C162" s="72" t="s">
        <v>95</v>
      </c>
      <c r="F162" s="63" t="str">
        <f>IF(B162&gt;0,B162*D162,"")</f>
        <v/>
      </c>
      <c r="K162" s="93">
        <f>K159</f>
        <v>3144</v>
      </c>
    </row>
    <row r="163" spans="2:11" x14ac:dyDescent="0.25">
      <c r="C163" s="72" t="s">
        <v>96</v>
      </c>
      <c r="F163" s="63" t="str">
        <f>IF(B163&gt;0,B163*D163,"")</f>
        <v/>
      </c>
      <c r="K163" s="108"/>
    </row>
    <row r="164" spans="2:11" x14ac:dyDescent="0.25">
      <c r="K164" s="109"/>
    </row>
    <row r="165" spans="2:11" x14ac:dyDescent="0.25">
      <c r="K165" s="110"/>
    </row>
    <row r="168" spans="2:11" x14ac:dyDescent="0.25">
      <c r="C168" s="72" t="s">
        <v>97</v>
      </c>
      <c r="K168" s="111">
        <f>K162-K163-K164-K165</f>
        <v>3144</v>
      </c>
    </row>
  </sheetData>
  <sheetProtection algorithmName="SHA-512" hashValue="qdP6TPJt6zOHeV4bGqu9z2iBLGB42TCs+PBP0fpssucVrmY4h2kHw1bNtV3eJGD7NnZgRAGUrNqqtTdt5n49GA==" saltValue="lEYYAobF5DBDE64N4xcK3w==" spinCount="100000" sheet="1" selectLockedCells="1"/>
  <mergeCells count="2">
    <mergeCell ref="A123:A130"/>
    <mergeCell ref="A133:A134"/>
  </mergeCells>
  <phoneticPr fontId="0" type="noConversion"/>
  <printOptions horizontalCentered="1"/>
  <pageMargins left="0.25" right="0.25" top="0.5" bottom="0.5" header="0" footer="0"/>
  <pageSetup scale="7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47"/>
  <sheetViews>
    <sheetView workbookViewId="0">
      <selection activeCell="A2" sqref="A2:A7"/>
    </sheetView>
  </sheetViews>
  <sheetFormatPr defaultRowHeight="12.5" x14ac:dyDescent="0.25"/>
  <cols>
    <col min="1" max="1" width="21.81640625" customWidth="1"/>
    <col min="2" max="2" width="3.1796875" style="3" customWidth="1"/>
    <col min="3" max="3" width="66.26953125" style="8" customWidth="1"/>
    <col min="4" max="5" width="5.453125" hidden="1" customWidth="1"/>
    <col min="6" max="6" width="5.54296875" hidden="1" customWidth="1"/>
    <col min="7" max="7" width="8.81640625" hidden="1" customWidth="1"/>
    <col min="8" max="8" width="9.1796875" style="120" customWidth="1"/>
    <col min="9" max="9" width="9.26953125" style="10" bestFit="1" customWidth="1"/>
    <col min="10" max="10" width="10.26953125" style="10" bestFit="1" customWidth="1"/>
    <col min="11" max="11" width="10.26953125" bestFit="1" customWidth="1"/>
  </cols>
  <sheetData>
    <row r="1" spans="1:11" ht="22.5" thickBot="1" x14ac:dyDescent="0.45">
      <c r="A1" s="179" t="str">
        <f>'993'!A1</f>
        <v>Name</v>
      </c>
      <c r="C1" s="33" t="s">
        <v>33</v>
      </c>
    </row>
    <row r="2" spans="1:11" ht="13" thickBot="1" x14ac:dyDescent="0.3">
      <c r="A2" s="45">
        <f>'993'!A2</f>
        <v>1982</v>
      </c>
      <c r="C2" s="36" t="s">
        <v>34</v>
      </c>
    </row>
    <row r="3" spans="1:11" ht="13" x14ac:dyDescent="0.3">
      <c r="A3" s="40" t="str">
        <f>'993'!A3</f>
        <v>Address - Street</v>
      </c>
      <c r="C3" s="37" t="s">
        <v>35</v>
      </c>
    </row>
    <row r="4" spans="1:11" ht="13" x14ac:dyDescent="0.3">
      <c r="A4" s="59" t="str">
        <f>'993'!A4</f>
        <v/>
      </c>
      <c r="C4" s="37" t="s">
        <v>13</v>
      </c>
    </row>
    <row r="5" spans="1:11" ht="13.5" thickBot="1" x14ac:dyDescent="0.35">
      <c r="A5" s="41" t="str">
        <f>'993'!A5</f>
        <v>City/State/Zip</v>
      </c>
      <c r="C5" s="37" t="s">
        <v>36</v>
      </c>
    </row>
    <row r="6" spans="1:11" ht="13.5" thickBot="1" x14ac:dyDescent="0.35">
      <c r="A6" s="41" t="str">
        <f>'993'!A6</f>
        <v>Phone</v>
      </c>
      <c r="C6" s="37" t="s">
        <v>37</v>
      </c>
    </row>
    <row r="7" spans="1:11" ht="16" thickBot="1" x14ac:dyDescent="0.4">
      <c r="A7" s="38" t="str">
        <f>'993'!A7</f>
        <v>email</v>
      </c>
      <c r="C7" s="34" t="s">
        <v>38</v>
      </c>
    </row>
    <row r="8" spans="1:11" ht="15.5" thickBot="1" x14ac:dyDescent="0.35">
      <c r="C8" s="35" t="s">
        <v>39</v>
      </c>
      <c r="K8" s="178">
        <f>K138</f>
        <v>2759</v>
      </c>
    </row>
    <row r="9" spans="1:11" ht="15" x14ac:dyDescent="0.3">
      <c r="A9" s="31" t="s">
        <v>40</v>
      </c>
      <c r="C9" s="35"/>
    </row>
    <row r="10" spans="1:11" ht="15" x14ac:dyDescent="0.3">
      <c r="C10" s="35"/>
    </row>
    <row r="11" spans="1:11" ht="13" x14ac:dyDescent="0.3">
      <c r="A11" s="53" t="s">
        <v>126</v>
      </c>
      <c r="B11" s="28" t="str">
        <f>IF($A$2&gt;1973,"",1)</f>
        <v/>
      </c>
      <c r="C11" s="56" t="s">
        <v>100</v>
      </c>
    </row>
    <row r="12" spans="1:11" ht="13" x14ac:dyDescent="0.3">
      <c r="B12" s="28">
        <f>IF(AND($A$2&gt;=1973,$A$2&lt;=1983),1,"")</f>
        <v>1</v>
      </c>
      <c r="C12" s="56" t="s">
        <v>128</v>
      </c>
      <c r="I12" s="10">
        <f>SUM(B123:B125)</f>
        <v>0</v>
      </c>
      <c r="J12" s="10">
        <f>SUM(B123:B125)</f>
        <v>0</v>
      </c>
    </row>
    <row r="13" spans="1:11" ht="13" x14ac:dyDescent="0.3">
      <c r="B13" s="28" t="str">
        <f>IF(AND($A$2&gt;1983,$A$2&lt;1987),1,"")</f>
        <v/>
      </c>
      <c r="C13" s="56" t="s">
        <v>98</v>
      </c>
    </row>
    <row r="14" spans="1:11" ht="13" x14ac:dyDescent="0.3">
      <c r="B14" s="28" t="str">
        <f>IF($A$2&gt;1986,1,"")</f>
        <v/>
      </c>
      <c r="C14" s="56" t="s">
        <v>99</v>
      </c>
    </row>
    <row r="15" spans="1:11" ht="13" x14ac:dyDescent="0.3">
      <c r="A15" s="31"/>
    </row>
    <row r="16" spans="1:11" x14ac:dyDescent="0.25">
      <c r="A16" s="2" t="s">
        <v>0</v>
      </c>
      <c r="B16" s="28">
        <f>IF(B14=1,"",1)</f>
        <v>1</v>
      </c>
      <c r="C16" s="9" t="s">
        <v>101</v>
      </c>
      <c r="D16">
        <v>10</v>
      </c>
      <c r="E16">
        <f>D16</f>
        <v>10</v>
      </c>
      <c r="F16">
        <f>IF(B16&lt;&gt;"",B16*D16,"")</f>
        <v>10</v>
      </c>
    </row>
    <row r="17" spans="1:10" x14ac:dyDescent="0.25">
      <c r="A17" t="s">
        <v>1</v>
      </c>
      <c r="B17" s="28">
        <v>1</v>
      </c>
      <c r="C17" s="9" t="s">
        <v>102</v>
      </c>
      <c r="D17">
        <v>20</v>
      </c>
      <c r="E17">
        <f>D17</f>
        <v>20</v>
      </c>
      <c r="F17">
        <f>IF(B17&gt;0,B17*D17,"")</f>
        <v>20</v>
      </c>
    </row>
    <row r="18" spans="1:10" x14ac:dyDescent="0.25">
      <c r="A18" t="s">
        <v>5</v>
      </c>
      <c r="B18" s="46">
        <v>1</v>
      </c>
      <c r="C18" s="9" t="s">
        <v>76</v>
      </c>
      <c r="F18">
        <f>IF(B18&gt;0,B18*D18,"")</f>
        <v>0</v>
      </c>
    </row>
    <row r="19" spans="1:10" x14ac:dyDescent="0.25">
      <c r="A19" t="s">
        <v>6</v>
      </c>
      <c r="B19" s="28">
        <v>1</v>
      </c>
      <c r="C19" s="9" t="s">
        <v>77</v>
      </c>
      <c r="F19">
        <f>IF(B19&gt;0,B19*D19,"")</f>
        <v>0</v>
      </c>
      <c r="G19" s="1"/>
      <c r="H19" s="121"/>
    </row>
    <row r="20" spans="1:10" x14ac:dyDescent="0.25">
      <c r="B20"/>
      <c r="F20" t="str">
        <f>IF(B20&gt;0,B20*D20,"")</f>
        <v/>
      </c>
      <c r="G20">
        <f>SUM(F16:F19)</f>
        <v>30</v>
      </c>
      <c r="H20" s="122"/>
      <c r="J20" s="11"/>
    </row>
    <row r="21" spans="1:10" x14ac:dyDescent="0.25">
      <c r="A21" t="s">
        <v>3</v>
      </c>
      <c r="B21" s="4">
        <f>IF(SUM(B11:B13)&gt;0,1,"")</f>
        <v>1</v>
      </c>
      <c r="C21" s="8" t="s">
        <v>14</v>
      </c>
      <c r="D21">
        <v>388</v>
      </c>
      <c r="E21">
        <f t="shared" ref="E21:E43" si="0">D21</f>
        <v>388</v>
      </c>
      <c r="F21">
        <f>IF(B21=1,D21,"")</f>
        <v>388</v>
      </c>
    </row>
    <row r="22" spans="1:10" ht="25.5" x14ac:dyDescent="0.25">
      <c r="B22" s="28" t="str">
        <f>B14</f>
        <v/>
      </c>
      <c r="C22" s="9" t="s">
        <v>69</v>
      </c>
      <c r="D22">
        <v>588</v>
      </c>
      <c r="F22" t="str">
        <f t="shared" ref="F22:F35" si="1">IF(B22=1,B22*D22,"")</f>
        <v/>
      </c>
    </row>
    <row r="23" spans="1:10" x14ac:dyDescent="0.25">
      <c r="B23" s="28">
        <v>1</v>
      </c>
      <c r="C23" s="8" t="s">
        <v>8</v>
      </c>
      <c r="D23">
        <v>9</v>
      </c>
      <c r="E23">
        <f t="shared" si="0"/>
        <v>9</v>
      </c>
      <c r="F23">
        <f t="shared" si="1"/>
        <v>9</v>
      </c>
    </row>
    <row r="24" spans="1:10" x14ac:dyDescent="0.25">
      <c r="B24" s="28">
        <v>1</v>
      </c>
      <c r="C24" s="8" t="s">
        <v>12</v>
      </c>
      <c r="D24">
        <v>4</v>
      </c>
      <c r="E24">
        <f t="shared" si="0"/>
        <v>4</v>
      </c>
      <c r="F24">
        <f t="shared" si="1"/>
        <v>4</v>
      </c>
    </row>
    <row r="25" spans="1:10" x14ac:dyDescent="0.25">
      <c r="B25" s="28">
        <v>1</v>
      </c>
      <c r="C25" s="8" t="s">
        <v>9</v>
      </c>
      <c r="D25">
        <v>12</v>
      </c>
      <c r="E25">
        <f t="shared" si="0"/>
        <v>12</v>
      </c>
      <c r="F25">
        <f t="shared" si="1"/>
        <v>12</v>
      </c>
      <c r="G25" s="1"/>
      <c r="H25" s="121"/>
    </row>
    <row r="26" spans="1:10" x14ac:dyDescent="0.25">
      <c r="B26"/>
      <c r="F26" t="str">
        <f t="shared" si="1"/>
        <v/>
      </c>
      <c r="G26">
        <f>SUM(F21:F25)</f>
        <v>413</v>
      </c>
    </row>
    <row r="27" spans="1:10" x14ac:dyDescent="0.25">
      <c r="A27" t="s">
        <v>2</v>
      </c>
      <c r="B27" s="28">
        <v>1</v>
      </c>
      <c r="C27" s="9" t="s">
        <v>68</v>
      </c>
      <c r="D27">
        <v>160</v>
      </c>
      <c r="E27">
        <f t="shared" si="0"/>
        <v>160</v>
      </c>
      <c r="F27">
        <f t="shared" si="1"/>
        <v>160</v>
      </c>
      <c r="H27" s="123"/>
    </row>
    <row r="28" spans="1:10" x14ac:dyDescent="0.25">
      <c r="B28" s="28">
        <f>B27</f>
        <v>1</v>
      </c>
      <c r="C28" s="8" t="s">
        <v>10</v>
      </c>
      <c r="D28">
        <v>24</v>
      </c>
      <c r="E28">
        <f t="shared" si="0"/>
        <v>24</v>
      </c>
      <c r="F28">
        <f t="shared" si="1"/>
        <v>24</v>
      </c>
      <c r="G28" s="1"/>
      <c r="H28" s="121"/>
    </row>
    <row r="29" spans="1:10" x14ac:dyDescent="0.25">
      <c r="B29"/>
      <c r="F29" t="str">
        <f t="shared" si="1"/>
        <v/>
      </c>
      <c r="G29">
        <f>SUM(F27:F28)</f>
        <v>184</v>
      </c>
    </row>
    <row r="30" spans="1:10" x14ac:dyDescent="0.25">
      <c r="A30" t="s">
        <v>11</v>
      </c>
      <c r="B30" s="28">
        <f>IF(SUM(B11:B12)&gt;0,1,"")</f>
        <v>1</v>
      </c>
      <c r="C30" s="8" t="s">
        <v>129</v>
      </c>
      <c r="D30">
        <v>18</v>
      </c>
      <c r="E30">
        <f t="shared" si="0"/>
        <v>18</v>
      </c>
      <c r="F30">
        <f t="shared" si="1"/>
        <v>18</v>
      </c>
    </row>
    <row r="31" spans="1:10" x14ac:dyDescent="0.25">
      <c r="B31" s="28" t="str">
        <f>IF(B30=1,"",1)</f>
        <v/>
      </c>
      <c r="C31" s="8" t="s">
        <v>127</v>
      </c>
      <c r="D31">
        <v>18</v>
      </c>
      <c r="F31" t="str">
        <f t="shared" si="1"/>
        <v/>
      </c>
    </row>
    <row r="32" spans="1:10" x14ac:dyDescent="0.25">
      <c r="B32" s="28">
        <v>1</v>
      </c>
      <c r="C32" s="8" t="s">
        <v>4</v>
      </c>
      <c r="D32">
        <f>25+30</f>
        <v>55</v>
      </c>
      <c r="E32">
        <f t="shared" si="0"/>
        <v>55</v>
      </c>
      <c r="F32">
        <f t="shared" si="1"/>
        <v>55</v>
      </c>
    </row>
    <row r="33" spans="1:10" x14ac:dyDescent="0.25">
      <c r="B33" s="28" t="str">
        <f>B11</f>
        <v/>
      </c>
      <c r="C33" s="9" t="s">
        <v>110</v>
      </c>
      <c r="D33">
        <v>35</v>
      </c>
      <c r="E33">
        <f t="shared" si="0"/>
        <v>35</v>
      </c>
      <c r="F33" t="str">
        <f t="shared" si="1"/>
        <v/>
      </c>
    </row>
    <row r="34" spans="1:10" x14ac:dyDescent="0.25">
      <c r="B34" s="28">
        <f>B12</f>
        <v>1</v>
      </c>
      <c r="C34" s="9" t="s">
        <v>109</v>
      </c>
      <c r="D34">
        <v>35</v>
      </c>
      <c r="F34">
        <f t="shared" si="1"/>
        <v>35</v>
      </c>
    </row>
    <row r="35" spans="1:10" x14ac:dyDescent="0.25">
      <c r="B35" s="28" t="str">
        <f>IF(OR(B13=1,B14=1),1,"")</f>
        <v/>
      </c>
      <c r="C35" s="9" t="s">
        <v>108</v>
      </c>
      <c r="D35">
        <v>35</v>
      </c>
      <c r="F35" t="str">
        <f t="shared" si="1"/>
        <v/>
      </c>
      <c r="G35" s="1"/>
      <c r="H35" s="121"/>
    </row>
    <row r="36" spans="1:10" x14ac:dyDescent="0.25">
      <c r="B36"/>
      <c r="G36">
        <f>SUM(F30:F35)</f>
        <v>108</v>
      </c>
      <c r="H36" s="122"/>
    </row>
    <row r="38" spans="1:10" x14ac:dyDescent="0.25">
      <c r="A38" t="s">
        <v>7</v>
      </c>
      <c r="B38" s="28">
        <f>B21</f>
        <v>1</v>
      </c>
      <c r="C38" s="9" t="s">
        <v>70</v>
      </c>
      <c r="D38">
        <v>30</v>
      </c>
      <c r="E38">
        <f t="shared" si="0"/>
        <v>30</v>
      </c>
      <c r="F38">
        <f t="shared" ref="F38:F43" si="2">IF(B38=1,B38*D38,"")</f>
        <v>30</v>
      </c>
      <c r="H38" s="123"/>
    </row>
    <row r="39" spans="1:10" x14ac:dyDescent="0.25">
      <c r="B39" s="28" t="str">
        <f>B22</f>
        <v/>
      </c>
      <c r="C39" s="9" t="s">
        <v>71</v>
      </c>
      <c r="D39">
        <v>30</v>
      </c>
      <c r="F39" t="str">
        <f t="shared" si="2"/>
        <v/>
      </c>
      <c r="H39" s="123"/>
      <c r="J39" s="12"/>
    </row>
    <row r="40" spans="1:10" x14ac:dyDescent="0.25">
      <c r="B40" s="28">
        <v>1</v>
      </c>
      <c r="C40" s="9" t="s">
        <v>78</v>
      </c>
      <c r="D40">
        <v>0</v>
      </c>
      <c r="E40">
        <f t="shared" si="0"/>
        <v>0</v>
      </c>
      <c r="F40">
        <f t="shared" si="2"/>
        <v>0</v>
      </c>
      <c r="G40" s="1"/>
      <c r="H40" s="124"/>
      <c r="J40" s="12"/>
    </row>
    <row r="41" spans="1:10" x14ac:dyDescent="0.25">
      <c r="F41" t="str">
        <f t="shared" si="2"/>
        <v/>
      </c>
      <c r="G41">
        <f>SUM(F38:F40)</f>
        <v>30</v>
      </c>
      <c r="J41" s="12"/>
    </row>
    <row r="42" spans="1:10" x14ac:dyDescent="0.25">
      <c r="F42" t="str">
        <f t="shared" si="2"/>
        <v/>
      </c>
    </row>
    <row r="43" spans="1:10" x14ac:dyDescent="0.25">
      <c r="A43" s="2" t="s">
        <v>73</v>
      </c>
      <c r="B43" s="28">
        <v>1</v>
      </c>
      <c r="C43" s="9" t="s">
        <v>72</v>
      </c>
      <c r="D43">
        <v>50</v>
      </c>
      <c r="E43">
        <f t="shared" si="0"/>
        <v>50</v>
      </c>
      <c r="F43">
        <f t="shared" si="2"/>
        <v>50</v>
      </c>
      <c r="H43" s="123"/>
    </row>
    <row r="44" spans="1:10" ht="13.5" thickBot="1" x14ac:dyDescent="0.35">
      <c r="F44" t="str">
        <f>IF(B44&gt;0,B44*D44,"")</f>
        <v/>
      </c>
      <c r="G44">
        <f>SUM(F43:F80)</f>
        <v>1264</v>
      </c>
      <c r="H44" s="122"/>
      <c r="I44" s="5"/>
    </row>
    <row r="45" spans="1:10" ht="13.5" thickBot="1" x14ac:dyDescent="0.35">
      <c r="A45" s="55" t="s">
        <v>31</v>
      </c>
      <c r="B45" s="17"/>
      <c r="C45" s="18"/>
      <c r="D45" s="19"/>
      <c r="E45">
        <f>SUM(E16:E44)</f>
        <v>815</v>
      </c>
      <c r="F45">
        <f>SUM(F16:F44)</f>
        <v>815</v>
      </c>
      <c r="G45" s="19">
        <f>SUM(G16:G44)</f>
        <v>2029</v>
      </c>
      <c r="H45" s="125"/>
      <c r="I45" s="20"/>
      <c r="J45" s="24">
        <v>1945</v>
      </c>
    </row>
    <row r="46" spans="1:10" x14ac:dyDescent="0.25">
      <c r="C46"/>
      <c r="F46" t="str">
        <f t="shared" ref="F46:F56" si="3">IF(B46&gt;0,B46*D46,"")</f>
        <v/>
      </c>
    </row>
    <row r="47" spans="1:10" x14ac:dyDescent="0.25">
      <c r="F47" t="str">
        <f t="shared" si="3"/>
        <v/>
      </c>
    </row>
    <row r="48" spans="1:10" ht="13" x14ac:dyDescent="0.3">
      <c r="A48" s="31" t="s">
        <v>23</v>
      </c>
      <c r="B48" s="27"/>
      <c r="C48" s="9" t="s">
        <v>112</v>
      </c>
      <c r="D48">
        <v>428</v>
      </c>
      <c r="F48" t="str">
        <f t="shared" si="3"/>
        <v/>
      </c>
      <c r="H48" s="120">
        <v>699</v>
      </c>
      <c r="I48" s="16" t="str">
        <f t="shared" ref="I48:I53" si="4">IF(B48=1,B48*H48,"")</f>
        <v/>
      </c>
      <c r="J48" s="12"/>
    </row>
    <row r="49" spans="1:12" x14ac:dyDescent="0.25">
      <c r="B49" s="27"/>
      <c r="C49" s="8" t="s">
        <v>92</v>
      </c>
      <c r="F49" t="str">
        <f t="shared" si="3"/>
        <v/>
      </c>
      <c r="H49" s="126">
        <v>1695</v>
      </c>
      <c r="I49" s="16" t="str">
        <f t="shared" si="4"/>
        <v/>
      </c>
      <c r="J49" s="12"/>
    </row>
    <row r="50" spans="1:12" x14ac:dyDescent="0.25">
      <c r="B50" s="27">
        <v>1</v>
      </c>
      <c r="C50" s="9" t="s">
        <v>116</v>
      </c>
      <c r="D50">
        <v>150</v>
      </c>
      <c r="F50">
        <f t="shared" si="3"/>
        <v>150</v>
      </c>
      <c r="H50" s="120">
        <v>395</v>
      </c>
      <c r="I50" s="16">
        <f t="shared" si="4"/>
        <v>395</v>
      </c>
      <c r="J50" s="12"/>
    </row>
    <row r="51" spans="1:12" x14ac:dyDescent="0.25">
      <c r="B51" s="27">
        <v>1</v>
      </c>
      <c r="C51" s="9" t="s">
        <v>115</v>
      </c>
      <c r="D51">
        <v>35</v>
      </c>
      <c r="F51">
        <f t="shared" si="3"/>
        <v>35</v>
      </c>
      <c r="H51" s="120">
        <v>89</v>
      </c>
      <c r="I51" s="16">
        <f t="shared" si="4"/>
        <v>89</v>
      </c>
      <c r="J51" s="12"/>
    </row>
    <row r="52" spans="1:12" ht="14.25" customHeight="1" x14ac:dyDescent="0.25">
      <c r="B52" s="27">
        <v>1</v>
      </c>
      <c r="C52" s="9" t="s">
        <v>117</v>
      </c>
      <c r="D52">
        <v>110</v>
      </c>
      <c r="F52">
        <f t="shared" si="3"/>
        <v>110</v>
      </c>
      <c r="H52" s="120">
        <v>195</v>
      </c>
      <c r="I52" s="16">
        <f t="shared" si="4"/>
        <v>195</v>
      </c>
      <c r="J52" s="12"/>
    </row>
    <row r="53" spans="1:12" x14ac:dyDescent="0.25">
      <c r="B53" s="27">
        <v>1</v>
      </c>
      <c r="C53" s="9" t="s">
        <v>113</v>
      </c>
      <c r="D53">
        <v>6</v>
      </c>
      <c r="F53">
        <f t="shared" si="3"/>
        <v>6</v>
      </c>
      <c r="H53" s="120">
        <v>39</v>
      </c>
      <c r="I53" s="16">
        <f t="shared" si="4"/>
        <v>39</v>
      </c>
      <c r="J53" s="12"/>
    </row>
    <row r="54" spans="1:12" x14ac:dyDescent="0.25">
      <c r="B54" s="27">
        <v>1</v>
      </c>
      <c r="C54" s="9" t="s">
        <v>88</v>
      </c>
      <c r="D54">
        <v>0</v>
      </c>
      <c r="F54">
        <f t="shared" si="3"/>
        <v>0</v>
      </c>
      <c r="H54" s="121">
        <v>50</v>
      </c>
      <c r="I54" s="13">
        <f>H54*B54</f>
        <v>50</v>
      </c>
      <c r="J54" s="14"/>
    </row>
    <row r="55" spans="1:12" x14ac:dyDescent="0.25">
      <c r="B55"/>
      <c r="F55" t="str">
        <f t="shared" si="3"/>
        <v/>
      </c>
      <c r="G55">
        <f>SUM(F48:F54)</f>
        <v>301</v>
      </c>
      <c r="I55" s="12"/>
      <c r="J55" s="12">
        <f>SUM(I48:I54)</f>
        <v>768</v>
      </c>
    </row>
    <row r="56" spans="1:12" x14ac:dyDescent="0.25">
      <c r="B56"/>
      <c r="C56" s="9"/>
      <c r="F56" t="str">
        <f t="shared" si="3"/>
        <v/>
      </c>
      <c r="I56" s="12"/>
    </row>
    <row r="57" spans="1:12" ht="13" x14ac:dyDescent="0.3">
      <c r="A57" s="31" t="s">
        <v>22</v>
      </c>
      <c r="B57" s="4">
        <f>IF(AND(B50=1,(B51+B52&gt;=2)),1,"")</f>
        <v>1</v>
      </c>
      <c r="C57" s="58" t="s">
        <v>114</v>
      </c>
      <c r="H57" s="10">
        <f>-76-I54-IF(B53&gt;0,24,0)</f>
        <v>-150</v>
      </c>
      <c r="I57" s="12">
        <f>IF(B57=1,B57*H57,"")</f>
        <v>-150</v>
      </c>
    </row>
    <row r="58" spans="1:12" ht="14" x14ac:dyDescent="0.4">
      <c r="B58" s="4" t="str">
        <f>IF(SUM(I57:I57)=0,B50,"")</f>
        <v/>
      </c>
      <c r="C58" s="8" t="s">
        <v>32</v>
      </c>
      <c r="H58" s="13">
        <v>-50</v>
      </c>
      <c r="I58" s="57" t="str">
        <f>IF(B58=1,B58*H58,"")</f>
        <v/>
      </c>
      <c r="J58" s="13"/>
    </row>
    <row r="59" spans="1:12" s="2" customFormat="1" x14ac:dyDescent="0.25">
      <c r="A59"/>
      <c r="B59" s="3"/>
      <c r="C59" s="8"/>
      <c r="D59"/>
      <c r="E59"/>
      <c r="F59" t="str">
        <f>IF(B59&gt;0,B59*D59,"")</f>
        <v/>
      </c>
      <c r="G59"/>
      <c r="H59" s="122"/>
      <c r="I59" s="11"/>
      <c r="J59" s="7">
        <f>SUM(I57:I57)</f>
        <v>-150</v>
      </c>
      <c r="L59" s="15"/>
    </row>
    <row r="60" spans="1:12" x14ac:dyDescent="0.25">
      <c r="F60" t="str">
        <f>IF(B60&gt;0,B60*D60,"")</f>
        <v/>
      </c>
    </row>
    <row r="61" spans="1:12" x14ac:dyDescent="0.25">
      <c r="B61"/>
      <c r="C61" s="9"/>
      <c r="F61" t="str">
        <f>IF(B61&gt;0,B61*D61,"")</f>
        <v/>
      </c>
      <c r="I61" s="12"/>
      <c r="J61" s="12"/>
      <c r="K61" s="15"/>
    </row>
    <row r="62" spans="1:12" ht="13" x14ac:dyDescent="0.3">
      <c r="A62" s="31" t="s">
        <v>24</v>
      </c>
      <c r="B62" s="42"/>
      <c r="C62" s="9" t="s">
        <v>93</v>
      </c>
      <c r="D62">
        <v>140</v>
      </c>
      <c r="F62" t="str">
        <f>IF(B62&gt;0,B62*D62,"")</f>
        <v/>
      </c>
      <c r="H62" s="120">
        <v>299</v>
      </c>
      <c r="I62" s="12" t="str">
        <f t="shared" ref="I62:I64" si="5">IF(B62&gt;0,B62*H62,"")</f>
        <v/>
      </c>
      <c r="J62" s="12"/>
    </row>
    <row r="63" spans="1:12" s="63" customFormat="1" ht="12" customHeight="1" x14ac:dyDescent="0.3">
      <c r="A63" s="71"/>
      <c r="B63" s="82"/>
      <c r="C63" s="9" t="s">
        <v>134</v>
      </c>
      <c r="H63" s="77">
        <v>195</v>
      </c>
      <c r="I63" s="12" t="str">
        <f t="shared" si="5"/>
        <v/>
      </c>
      <c r="J63" s="81"/>
    </row>
    <row r="64" spans="1:12" x14ac:dyDescent="0.25">
      <c r="B64" s="27"/>
      <c r="C64" s="8" t="s">
        <v>120</v>
      </c>
      <c r="H64" s="127">
        <v>85</v>
      </c>
      <c r="I64" s="12" t="str">
        <f t="shared" si="5"/>
        <v/>
      </c>
      <c r="J64" s="12"/>
    </row>
    <row r="65" spans="1:11" x14ac:dyDescent="0.25">
      <c r="B65" s="27">
        <v>1</v>
      </c>
      <c r="C65" s="8" t="s">
        <v>15</v>
      </c>
      <c r="D65">
        <v>98</v>
      </c>
      <c r="F65">
        <f>IF(B65&gt;0,B65*D65,"")</f>
        <v>98</v>
      </c>
      <c r="H65" s="120">
        <v>139</v>
      </c>
      <c r="I65" s="12">
        <f t="shared" ref="I65:I86" si="6">IF(B65&gt;0,B65*H65,"")</f>
        <v>139</v>
      </c>
      <c r="J65" s="12"/>
    </row>
    <row r="66" spans="1:11" x14ac:dyDescent="0.25">
      <c r="B66" s="27"/>
      <c r="C66" s="8" t="s">
        <v>140</v>
      </c>
      <c r="H66" s="120">
        <v>48</v>
      </c>
      <c r="I66" s="12" t="str">
        <f t="shared" si="6"/>
        <v/>
      </c>
      <c r="J66" s="12"/>
    </row>
    <row r="67" spans="1:11" x14ac:dyDescent="0.25">
      <c r="B67" s="27"/>
      <c r="C67" s="8" t="s">
        <v>141</v>
      </c>
      <c r="H67" s="120">
        <v>48</v>
      </c>
      <c r="I67" s="12" t="str">
        <f t="shared" si="6"/>
        <v/>
      </c>
      <c r="J67" s="12"/>
    </row>
    <row r="68" spans="1:11" x14ac:dyDescent="0.25">
      <c r="B68" s="27"/>
      <c r="C68" s="8" t="s">
        <v>142</v>
      </c>
      <c r="H68" s="120">
        <v>36</v>
      </c>
      <c r="I68" s="12" t="str">
        <f t="shared" si="6"/>
        <v/>
      </c>
      <c r="J68" s="12"/>
    </row>
    <row r="69" spans="1:11" x14ac:dyDescent="0.25">
      <c r="B69" s="27"/>
      <c r="C69" s="8" t="s">
        <v>18</v>
      </c>
      <c r="D69">
        <v>93</v>
      </c>
      <c r="F69" t="str">
        <f>IF(B69&gt;0,B69*D69,"")</f>
        <v/>
      </c>
      <c r="H69" s="120">
        <v>199</v>
      </c>
      <c r="I69" s="12" t="str">
        <f t="shared" si="6"/>
        <v/>
      </c>
      <c r="J69" s="12"/>
    </row>
    <row r="70" spans="1:11" x14ac:dyDescent="0.25">
      <c r="A70" s="2"/>
      <c r="B70" s="29"/>
      <c r="C70" s="9" t="s">
        <v>16</v>
      </c>
      <c r="D70" s="2"/>
      <c r="E70" s="2"/>
      <c r="F70" t="str">
        <f>IF(B70&gt;0,B70*D70,"")</f>
        <v/>
      </c>
      <c r="G70" s="2"/>
      <c r="H70" s="126">
        <v>55</v>
      </c>
      <c r="I70" s="12" t="str">
        <f t="shared" si="6"/>
        <v/>
      </c>
      <c r="J70" s="6"/>
      <c r="K70" s="2"/>
    </row>
    <row r="71" spans="1:11" ht="37.5" x14ac:dyDescent="0.25">
      <c r="A71" s="2"/>
      <c r="B71" s="29"/>
      <c r="C71" s="9" t="s">
        <v>79</v>
      </c>
      <c r="D71" s="2"/>
      <c r="E71" s="2"/>
      <c r="G71" s="2"/>
      <c r="H71" s="126">
        <f>7*22+24*4+28+35-64</f>
        <v>249</v>
      </c>
      <c r="I71" s="12" t="str">
        <f t="shared" si="6"/>
        <v/>
      </c>
      <c r="J71" s="6"/>
      <c r="K71" s="2"/>
    </row>
    <row r="72" spans="1:11" x14ac:dyDescent="0.25">
      <c r="B72" s="27"/>
      <c r="C72" s="9" t="s">
        <v>80</v>
      </c>
      <c r="D72" s="2">
        <v>65</v>
      </c>
      <c r="E72" s="2"/>
      <c r="F72" t="str">
        <f>IF(B72&gt;0,B72*D72,"")</f>
        <v/>
      </c>
      <c r="H72" s="120">
        <v>145</v>
      </c>
      <c r="I72" s="12" t="str">
        <f t="shared" si="6"/>
        <v/>
      </c>
      <c r="J72" s="12"/>
    </row>
    <row r="73" spans="1:11" x14ac:dyDescent="0.25">
      <c r="B73" s="27"/>
      <c r="C73" s="9" t="s">
        <v>130</v>
      </c>
      <c r="D73" s="2"/>
      <c r="E73" s="2"/>
      <c r="H73" s="120">
        <v>160</v>
      </c>
      <c r="I73" s="12" t="str">
        <f t="shared" si="6"/>
        <v/>
      </c>
      <c r="J73" s="12"/>
    </row>
    <row r="74" spans="1:11" x14ac:dyDescent="0.25">
      <c r="B74" s="27"/>
      <c r="C74" s="9" t="s">
        <v>83</v>
      </c>
      <c r="D74" s="2">
        <v>30</v>
      </c>
      <c r="E74" s="2"/>
      <c r="F74" t="str">
        <f>IF(B74&gt;0,B74*D74,"")</f>
        <v/>
      </c>
      <c r="H74" s="120">
        <v>127</v>
      </c>
      <c r="I74" s="12" t="str">
        <f t="shared" si="6"/>
        <v/>
      </c>
      <c r="J74" s="12"/>
    </row>
    <row r="75" spans="1:11" x14ac:dyDescent="0.25">
      <c r="B75" s="27">
        <v>1</v>
      </c>
      <c r="C75" s="9" t="s">
        <v>42</v>
      </c>
      <c r="F75">
        <f>IF(B75&gt;0,B75*D75,"")</f>
        <v>0</v>
      </c>
      <c r="H75" s="120">
        <v>28</v>
      </c>
      <c r="I75" s="12">
        <f t="shared" si="6"/>
        <v>28</v>
      </c>
      <c r="J75" s="12"/>
    </row>
    <row r="76" spans="1:11" x14ac:dyDescent="0.25">
      <c r="B76" s="27"/>
      <c r="C76" s="9" t="s">
        <v>81</v>
      </c>
      <c r="F76" t="str">
        <f>IF(B76&gt;0,B76*D76,"")</f>
        <v/>
      </c>
      <c r="H76" s="120">
        <v>14</v>
      </c>
      <c r="I76" s="12" t="str">
        <f t="shared" si="6"/>
        <v/>
      </c>
      <c r="J76" s="12"/>
    </row>
    <row r="77" spans="1:11" x14ac:dyDescent="0.25">
      <c r="B77" s="27">
        <v>1</v>
      </c>
      <c r="C77" s="9" t="s">
        <v>82</v>
      </c>
      <c r="H77" s="120">
        <v>29</v>
      </c>
      <c r="I77" s="12">
        <f t="shared" si="6"/>
        <v>29</v>
      </c>
      <c r="J77" s="12"/>
    </row>
    <row r="78" spans="1:11" x14ac:dyDescent="0.25">
      <c r="B78" s="27"/>
      <c r="C78" s="9" t="s">
        <v>111</v>
      </c>
      <c r="D78">
        <v>12</v>
      </c>
      <c r="E78">
        <f>D78</f>
        <v>12</v>
      </c>
      <c r="F78" t="str">
        <f>IF(B78=1,B78*D78,"")</f>
        <v/>
      </c>
      <c r="H78" s="120">
        <v>29</v>
      </c>
      <c r="I78" s="12" t="str">
        <f t="shared" si="6"/>
        <v/>
      </c>
      <c r="J78" s="12"/>
    </row>
    <row r="79" spans="1:11" ht="13" x14ac:dyDescent="0.3">
      <c r="B79" s="27"/>
      <c r="C79" s="9" t="s">
        <v>75</v>
      </c>
      <c r="D79">
        <v>95</v>
      </c>
      <c r="E79">
        <f>D79</f>
        <v>95</v>
      </c>
      <c r="F79" t="str">
        <f>IF(B79=1,B79*D79,"")</f>
        <v/>
      </c>
      <c r="H79" s="120">
        <v>115</v>
      </c>
      <c r="I79" s="5" t="str">
        <f t="shared" si="6"/>
        <v/>
      </c>
    </row>
    <row r="80" spans="1:11" ht="13" x14ac:dyDescent="0.3">
      <c r="B80" s="27"/>
      <c r="C80" s="9" t="s">
        <v>74</v>
      </c>
      <c r="D80">
        <v>105</v>
      </c>
      <c r="E80">
        <f>D80</f>
        <v>105</v>
      </c>
      <c r="F80" t="str">
        <f>IF(B80=1,B80*D80,"")</f>
        <v/>
      </c>
      <c r="H80" s="120">
        <v>98</v>
      </c>
      <c r="I80" s="5" t="str">
        <f t="shared" si="6"/>
        <v/>
      </c>
    </row>
    <row r="81" spans="1:11" ht="13" x14ac:dyDescent="0.3">
      <c r="A81" s="31" t="s">
        <v>121</v>
      </c>
      <c r="B81" s="27"/>
      <c r="C81" s="44"/>
      <c r="D81" s="27"/>
      <c r="E81" s="52"/>
      <c r="G81" s="27"/>
      <c r="H81" s="115"/>
      <c r="I81" s="12" t="str">
        <f t="shared" si="6"/>
        <v/>
      </c>
      <c r="J81" s="12"/>
    </row>
    <row r="82" spans="1:11" x14ac:dyDescent="0.25">
      <c r="B82" s="27"/>
      <c r="C82" s="44"/>
      <c r="D82" s="27"/>
      <c r="E82" s="52"/>
      <c r="G82" s="27"/>
      <c r="H82" s="115"/>
      <c r="I82" s="12" t="str">
        <f t="shared" si="6"/>
        <v/>
      </c>
      <c r="J82" s="12"/>
    </row>
    <row r="83" spans="1:11" x14ac:dyDescent="0.25">
      <c r="B83" s="27"/>
      <c r="C83" s="44"/>
      <c r="D83" s="27"/>
      <c r="E83" s="52"/>
      <c r="G83" s="27"/>
      <c r="H83" s="115"/>
      <c r="I83" s="12" t="str">
        <f t="shared" si="6"/>
        <v/>
      </c>
      <c r="J83" s="12"/>
    </row>
    <row r="84" spans="1:11" x14ac:dyDescent="0.25">
      <c r="B84" s="27"/>
      <c r="C84" s="39"/>
      <c r="D84" s="27"/>
      <c r="E84" s="52"/>
      <c r="G84" s="27"/>
      <c r="H84" s="115"/>
      <c r="I84" s="12" t="str">
        <f t="shared" si="6"/>
        <v/>
      </c>
      <c r="J84" s="12"/>
    </row>
    <row r="85" spans="1:11" x14ac:dyDescent="0.25">
      <c r="B85" s="27"/>
      <c r="C85" s="39"/>
      <c r="D85" s="27"/>
      <c r="E85" s="52"/>
      <c r="G85" s="27"/>
      <c r="H85" s="115"/>
      <c r="I85" s="12" t="str">
        <f t="shared" si="6"/>
        <v/>
      </c>
      <c r="J85" s="12"/>
    </row>
    <row r="86" spans="1:11" x14ac:dyDescent="0.25">
      <c r="B86" s="27"/>
      <c r="C86" s="44"/>
      <c r="D86" s="27"/>
      <c r="E86" s="52"/>
      <c r="G86" s="27"/>
      <c r="H86" s="115"/>
      <c r="I86" s="12" t="str">
        <f t="shared" si="6"/>
        <v/>
      </c>
      <c r="J86" s="14"/>
    </row>
    <row r="87" spans="1:11" ht="13" thickBot="1" x14ac:dyDescent="0.3">
      <c r="F87" t="str">
        <f>IF(B87&gt;0,B87*D87,"")</f>
        <v/>
      </c>
      <c r="H87" s="122"/>
      <c r="I87" s="16"/>
      <c r="J87" s="16">
        <f>SUM(I62:I86)</f>
        <v>196</v>
      </c>
    </row>
    <row r="88" spans="1:11" ht="13.5" thickBot="1" x14ac:dyDescent="0.35">
      <c r="A88" s="54" t="s">
        <v>28</v>
      </c>
      <c r="B88" s="19"/>
      <c r="C88" s="26"/>
      <c r="D88" s="19"/>
      <c r="F88" t="str">
        <f>IF(B88&gt;0,B88*D88,"")</f>
        <v/>
      </c>
      <c r="G88" s="19"/>
      <c r="H88" s="125"/>
      <c r="I88" s="22"/>
      <c r="J88" s="22"/>
      <c r="K88" s="21">
        <f>SUM(J45:J87)</f>
        <v>2759</v>
      </c>
    </row>
    <row r="89" spans="1:11" x14ac:dyDescent="0.25">
      <c r="B89"/>
      <c r="C89" s="9"/>
      <c r="F89" t="str">
        <f>IF(B89&gt;0,B89*D89,"")</f>
        <v/>
      </c>
      <c r="H89" s="122"/>
      <c r="I89" s="16"/>
      <c r="J89" s="16"/>
      <c r="K89" s="15"/>
    </row>
    <row r="90" spans="1:11" x14ac:dyDescent="0.25">
      <c r="F90" t="str">
        <f>IF(B90&gt;0,B90*D90,"")</f>
        <v/>
      </c>
      <c r="I90" s="12"/>
      <c r="K90" s="12"/>
    </row>
    <row r="91" spans="1:11" ht="13" x14ac:dyDescent="0.3">
      <c r="A91" s="31" t="s">
        <v>26</v>
      </c>
      <c r="B91" s="9"/>
      <c r="C91" s="9"/>
      <c r="I91" s="12" t="str">
        <f t="shared" ref="I91:I105" si="7">IF(B91&gt;0,B91*H91,"")</f>
        <v/>
      </c>
      <c r="J91" s="12"/>
    </row>
    <row r="92" spans="1:11" x14ac:dyDescent="0.25">
      <c r="B92" s="27"/>
      <c r="C92" t="s">
        <v>59</v>
      </c>
      <c r="H92" s="120">
        <v>1695</v>
      </c>
      <c r="I92" s="12" t="str">
        <f t="shared" si="7"/>
        <v/>
      </c>
      <c r="J92" s="12"/>
    </row>
    <row r="93" spans="1:11" x14ac:dyDescent="0.25">
      <c r="B93" s="27"/>
      <c r="C93" t="s">
        <v>58</v>
      </c>
      <c r="D93">
        <v>1650</v>
      </c>
      <c r="F93" t="str">
        <f>IF(B93&gt;0,B93*D93,"")</f>
        <v/>
      </c>
      <c r="H93" s="120">
        <v>2895</v>
      </c>
      <c r="I93" s="12" t="str">
        <f t="shared" si="7"/>
        <v/>
      </c>
      <c r="J93" s="12"/>
    </row>
    <row r="94" spans="1:11" x14ac:dyDescent="0.25">
      <c r="B94" s="27"/>
      <c r="C94" t="s">
        <v>103</v>
      </c>
      <c r="H94" s="120">
        <v>2895</v>
      </c>
      <c r="I94" s="12" t="str">
        <f t="shared" si="7"/>
        <v/>
      </c>
      <c r="J94" s="12"/>
    </row>
    <row r="95" spans="1:11" x14ac:dyDescent="0.25">
      <c r="B95" s="27"/>
      <c r="C95" s="9" t="s">
        <v>61</v>
      </c>
      <c r="H95" s="120">
        <v>2995</v>
      </c>
      <c r="I95" s="12" t="str">
        <f t="shared" si="7"/>
        <v/>
      </c>
      <c r="J95" s="12"/>
    </row>
    <row r="96" spans="1:11" x14ac:dyDescent="0.25">
      <c r="B96" s="27"/>
      <c r="C96" s="9" t="s">
        <v>62</v>
      </c>
      <c r="D96">
        <v>73</v>
      </c>
      <c r="F96" t="str">
        <f>IF(B96&gt;0,B96*D96,"")</f>
        <v/>
      </c>
      <c r="H96" s="122" t="s">
        <v>125</v>
      </c>
      <c r="I96" s="12" t="str">
        <f t="shared" si="7"/>
        <v/>
      </c>
      <c r="J96" s="16"/>
    </row>
    <row r="97" spans="1:11" x14ac:dyDescent="0.25">
      <c r="B97" s="27"/>
      <c r="C97" s="9" t="s">
        <v>63</v>
      </c>
      <c r="H97" s="120">
        <v>395</v>
      </c>
      <c r="I97" s="12" t="str">
        <f t="shared" si="7"/>
        <v/>
      </c>
      <c r="J97" s="12"/>
    </row>
    <row r="98" spans="1:11" x14ac:dyDescent="0.25">
      <c r="B98" s="27"/>
      <c r="C98" s="9" t="s">
        <v>64</v>
      </c>
      <c r="H98" s="120">
        <v>495</v>
      </c>
      <c r="I98" s="12" t="str">
        <f t="shared" si="7"/>
        <v/>
      </c>
      <c r="J98" s="12"/>
    </row>
    <row r="99" spans="1:11" ht="25" x14ac:dyDescent="0.25">
      <c r="B99" s="27"/>
      <c r="C99" s="9" t="s">
        <v>85</v>
      </c>
      <c r="H99" s="120">
        <v>1995</v>
      </c>
      <c r="I99" s="12" t="str">
        <f t="shared" si="7"/>
        <v/>
      </c>
      <c r="J99" s="12"/>
    </row>
    <row r="100" spans="1:11" x14ac:dyDescent="0.25">
      <c r="B100" s="27"/>
      <c r="C100" s="9" t="s">
        <v>122</v>
      </c>
      <c r="H100" s="120">
        <v>125</v>
      </c>
      <c r="I100" s="12" t="str">
        <f t="shared" si="7"/>
        <v/>
      </c>
      <c r="J100" s="12"/>
    </row>
    <row r="101" spans="1:11" x14ac:dyDescent="0.25">
      <c r="B101" s="27"/>
      <c r="C101" s="9" t="s">
        <v>84</v>
      </c>
      <c r="D101">
        <v>50</v>
      </c>
      <c r="F101" t="str">
        <f>IF(B101&gt;0,B101*D101,"")</f>
        <v/>
      </c>
      <c r="H101" s="120">
        <v>139</v>
      </c>
      <c r="I101" s="12" t="str">
        <f t="shared" si="7"/>
        <v/>
      </c>
      <c r="J101" s="12"/>
    </row>
    <row r="102" spans="1:11" x14ac:dyDescent="0.25">
      <c r="B102" s="27"/>
      <c r="C102" t="s">
        <v>60</v>
      </c>
      <c r="H102" s="129">
        <v>1195</v>
      </c>
      <c r="I102" s="12" t="str">
        <f t="shared" si="7"/>
        <v/>
      </c>
      <c r="J102" s="16"/>
    </row>
    <row r="103" spans="1:11" x14ac:dyDescent="0.25">
      <c r="B103" s="27"/>
      <c r="C103" t="s">
        <v>86</v>
      </c>
      <c r="H103" s="129">
        <v>199</v>
      </c>
      <c r="I103" s="12" t="str">
        <f t="shared" si="7"/>
        <v/>
      </c>
      <c r="J103" s="16"/>
    </row>
    <row r="104" spans="1:11" ht="15" customHeight="1" x14ac:dyDescent="0.25">
      <c r="B104" s="27"/>
      <c r="C104" s="2" t="s">
        <v>160</v>
      </c>
      <c r="H104" s="120">
        <v>350</v>
      </c>
      <c r="I104" s="12" t="str">
        <f t="shared" si="7"/>
        <v/>
      </c>
      <c r="J104" s="12"/>
    </row>
    <row r="105" spans="1:11" ht="13" thickBot="1" x14ac:dyDescent="0.3">
      <c r="B105" s="27"/>
      <c r="C105" s="9" t="s">
        <v>159</v>
      </c>
      <c r="H105" s="120">
        <v>250</v>
      </c>
      <c r="I105" s="12" t="str">
        <f t="shared" si="7"/>
        <v/>
      </c>
      <c r="J105" s="12"/>
    </row>
    <row r="106" spans="1:11" ht="13.5" thickBot="1" x14ac:dyDescent="0.35">
      <c r="A106" s="54" t="s">
        <v>30</v>
      </c>
      <c r="B106" s="47"/>
      <c r="C106" s="19"/>
      <c r="D106" s="19"/>
      <c r="F106" t="str">
        <f>IF(B106&gt;0,B106*D106,"")</f>
        <v/>
      </c>
      <c r="G106" s="19">
        <f>SUM(D91:D105)</f>
        <v>1773</v>
      </c>
      <c r="H106" s="125"/>
      <c r="I106" s="19"/>
      <c r="J106" s="20"/>
      <c r="K106" s="24">
        <f>SUM(I91:I105)</f>
        <v>0</v>
      </c>
    </row>
    <row r="107" spans="1:11" ht="13" x14ac:dyDescent="0.3">
      <c r="A107" s="31"/>
      <c r="B107"/>
      <c r="C107"/>
      <c r="H107" s="122"/>
      <c r="I107"/>
      <c r="J107" s="11"/>
      <c r="K107" s="11"/>
    </row>
    <row r="108" spans="1:11" ht="13" x14ac:dyDescent="0.3">
      <c r="A108" s="31" t="s">
        <v>50</v>
      </c>
      <c r="B108"/>
      <c r="F108" t="str">
        <f>IF(B108&gt;0,B108*D108,"")</f>
        <v/>
      </c>
      <c r="I108" s="12"/>
      <c r="J108" s="12"/>
    </row>
    <row r="109" spans="1:11" ht="12.75" customHeight="1" x14ac:dyDescent="0.25">
      <c r="A109" s="215" t="s">
        <v>155</v>
      </c>
      <c r="B109" s="27"/>
      <c r="C109" s="9" t="s">
        <v>156</v>
      </c>
      <c r="F109" t="s">
        <v>124</v>
      </c>
      <c r="H109" s="122">
        <v>895</v>
      </c>
      <c r="I109" s="12" t="str">
        <f t="shared" ref="I109:I120" si="8">IF(B109&gt;0,B109*H109,"")</f>
        <v/>
      </c>
      <c r="J109" s="12"/>
    </row>
    <row r="110" spans="1:11" ht="25" x14ac:dyDescent="0.25">
      <c r="A110" s="215"/>
      <c r="B110" s="27"/>
      <c r="C110" s="8" t="s">
        <v>218</v>
      </c>
      <c r="H110" s="129">
        <v>995</v>
      </c>
      <c r="I110" s="12" t="str">
        <f t="shared" si="8"/>
        <v/>
      </c>
      <c r="J110" s="12"/>
    </row>
    <row r="111" spans="1:11" ht="25" x14ac:dyDescent="0.25">
      <c r="A111" s="215"/>
      <c r="B111" s="27"/>
      <c r="C111" s="8" t="s">
        <v>219</v>
      </c>
      <c r="H111" s="129">
        <v>1395</v>
      </c>
      <c r="I111" s="12" t="str">
        <f t="shared" si="8"/>
        <v/>
      </c>
      <c r="J111" s="12"/>
    </row>
    <row r="112" spans="1:11" x14ac:dyDescent="0.25">
      <c r="A112" s="215"/>
      <c r="B112" s="27"/>
      <c r="C112" s="9" t="s">
        <v>184</v>
      </c>
      <c r="H112" s="122">
        <v>995</v>
      </c>
      <c r="I112" s="12" t="str">
        <f t="shared" si="8"/>
        <v/>
      </c>
      <c r="J112" s="12"/>
    </row>
    <row r="113" spans="1:11" x14ac:dyDescent="0.25">
      <c r="A113" s="215"/>
      <c r="B113" s="27"/>
      <c r="C113" s="9" t="s">
        <v>185</v>
      </c>
      <c r="F113" t="s">
        <v>124</v>
      </c>
      <c r="H113" s="122">
        <v>995</v>
      </c>
      <c r="I113" s="12" t="str">
        <f t="shared" si="8"/>
        <v/>
      </c>
      <c r="J113" s="12"/>
    </row>
    <row r="114" spans="1:11" x14ac:dyDescent="0.25">
      <c r="A114" s="215"/>
      <c r="B114" s="27"/>
      <c r="C114" s="8" t="s">
        <v>154</v>
      </c>
      <c r="F114" t="s">
        <v>124</v>
      </c>
      <c r="H114" s="122">
        <v>1495</v>
      </c>
      <c r="I114" s="12" t="str">
        <f t="shared" si="8"/>
        <v/>
      </c>
      <c r="J114" s="12"/>
    </row>
    <row r="115" spans="1:11" ht="25" x14ac:dyDescent="0.25">
      <c r="A115" s="215"/>
      <c r="B115" s="27"/>
      <c r="C115" s="9" t="s">
        <v>138</v>
      </c>
      <c r="H115" s="122">
        <v>1295</v>
      </c>
      <c r="I115" s="12" t="str">
        <f t="shared" si="8"/>
        <v/>
      </c>
      <c r="J115" s="12"/>
    </row>
    <row r="116" spans="1:11" ht="25" x14ac:dyDescent="0.25">
      <c r="A116" s="215"/>
      <c r="B116" s="27"/>
      <c r="C116" s="113" t="s">
        <v>217</v>
      </c>
      <c r="H116" s="129">
        <v>1595</v>
      </c>
      <c r="I116" s="12" t="str">
        <f t="shared" si="8"/>
        <v/>
      </c>
      <c r="J116" s="12"/>
    </row>
    <row r="117" spans="1:11" ht="25" x14ac:dyDescent="0.25">
      <c r="A117" s="181"/>
      <c r="B117" s="27"/>
      <c r="C117" s="113" t="s">
        <v>216</v>
      </c>
      <c r="H117" s="129">
        <v>2395</v>
      </c>
      <c r="I117" s="12" t="str">
        <f t="shared" si="8"/>
        <v/>
      </c>
      <c r="J117" s="12"/>
    </row>
    <row r="118" spans="1:11" ht="25" x14ac:dyDescent="0.25">
      <c r="A118" s="181"/>
      <c r="B118" s="27"/>
      <c r="C118" s="113" t="s">
        <v>220</v>
      </c>
      <c r="H118" s="129">
        <v>2650</v>
      </c>
      <c r="I118" s="12" t="str">
        <f t="shared" si="8"/>
        <v/>
      </c>
      <c r="J118" s="11"/>
      <c r="K118" s="11"/>
    </row>
    <row r="119" spans="1:11" ht="25" x14ac:dyDescent="0.25">
      <c r="A119" s="216" t="s">
        <v>157</v>
      </c>
      <c r="B119" s="27"/>
      <c r="C119" s="9" t="s">
        <v>153</v>
      </c>
      <c r="F119" t="s">
        <v>124</v>
      </c>
      <c r="H119" s="122">
        <v>395</v>
      </c>
      <c r="I119" s="12" t="str">
        <f t="shared" si="8"/>
        <v/>
      </c>
      <c r="J119" s="11"/>
      <c r="K119" s="11"/>
    </row>
    <row r="120" spans="1:11" ht="25.5" thickBot="1" x14ac:dyDescent="0.3">
      <c r="A120" s="216"/>
      <c r="B120" s="27"/>
      <c r="C120" s="9" t="s">
        <v>158</v>
      </c>
      <c r="H120" s="129">
        <v>199</v>
      </c>
      <c r="I120" s="12" t="str">
        <f t="shared" si="8"/>
        <v/>
      </c>
      <c r="J120" s="11"/>
      <c r="K120" s="11"/>
    </row>
    <row r="121" spans="1:11" ht="13.5" thickBot="1" x14ac:dyDescent="0.35">
      <c r="A121" s="54" t="s">
        <v>57</v>
      </c>
      <c r="B121" s="19"/>
      <c r="C121" s="19"/>
      <c r="D121" s="19"/>
      <c r="F121" t="str">
        <f>IF(B121&gt;0,B121*D121,"")</f>
        <v/>
      </c>
      <c r="G121" s="19">
        <f>SUM(D106:D120)</f>
        <v>0</v>
      </c>
      <c r="H121" s="125"/>
      <c r="I121" s="19"/>
      <c r="J121" s="20"/>
      <c r="K121" s="24">
        <f>SUM(I109:I120)</f>
        <v>0</v>
      </c>
    </row>
    <row r="122" spans="1:11" x14ac:dyDescent="0.25">
      <c r="F122" t="str">
        <f>IF(B122&gt;0,B122*D122,"")</f>
        <v/>
      </c>
    </row>
    <row r="123" spans="1:11" ht="26" x14ac:dyDescent="0.3">
      <c r="B123" s="46"/>
      <c r="C123" s="197" t="s">
        <v>221</v>
      </c>
      <c r="H123" s="135">
        <v>22995</v>
      </c>
      <c r="I123" s="43">
        <f t="shared" ref="I123:I124" si="9">H123*B123</f>
        <v>0</v>
      </c>
    </row>
    <row r="124" spans="1:11" ht="25" x14ac:dyDescent="0.25">
      <c r="B124" s="46"/>
      <c r="C124" s="113" t="s">
        <v>200</v>
      </c>
      <c r="H124" s="135">
        <f>H123+5000</f>
        <v>27995</v>
      </c>
      <c r="I124" s="43">
        <f t="shared" si="9"/>
        <v>0</v>
      </c>
    </row>
    <row r="125" spans="1:11" ht="25.5" x14ac:dyDescent="0.3">
      <c r="A125" s="31" t="s">
        <v>25</v>
      </c>
      <c r="B125" s="112"/>
      <c r="C125" s="113" t="s">
        <v>199</v>
      </c>
      <c r="D125" s="114"/>
      <c r="E125" s="114"/>
      <c r="F125" s="114"/>
      <c r="G125" s="114"/>
      <c r="H125" s="130">
        <f>H124+3000</f>
        <v>30995</v>
      </c>
      <c r="I125" s="43">
        <f>H125*B125</f>
        <v>0</v>
      </c>
      <c r="J125" s="16"/>
    </row>
    <row r="126" spans="1:11" x14ac:dyDescent="0.25">
      <c r="B126" s="28">
        <v>1</v>
      </c>
      <c r="C126" s="8" t="s">
        <v>53</v>
      </c>
      <c r="F126">
        <f t="shared" ref="F126:F130" si="10">IF(B126&gt;0,B126*D126,"")</f>
        <v>0</v>
      </c>
      <c r="H126" s="128"/>
      <c r="I126" s="43"/>
      <c r="J126" s="43"/>
    </row>
    <row r="127" spans="1:11" x14ac:dyDescent="0.25">
      <c r="B127" s="28">
        <v>1</v>
      </c>
      <c r="C127" s="8" t="s">
        <v>54</v>
      </c>
      <c r="F127">
        <f t="shared" si="10"/>
        <v>0</v>
      </c>
      <c r="H127" s="128"/>
      <c r="I127" s="43"/>
      <c r="J127" s="43"/>
    </row>
    <row r="128" spans="1:11" ht="13" thickBot="1" x14ac:dyDescent="0.3">
      <c r="B128" s="28">
        <v>1</v>
      </c>
      <c r="C128" s="8" t="s">
        <v>91</v>
      </c>
      <c r="F128">
        <f t="shared" si="10"/>
        <v>0</v>
      </c>
      <c r="H128" s="128"/>
      <c r="I128" s="43"/>
      <c r="J128" s="43"/>
    </row>
    <row r="129" spans="1:11" ht="13.5" thickBot="1" x14ac:dyDescent="0.35">
      <c r="A129" s="54" t="s">
        <v>29</v>
      </c>
      <c r="B129" s="17"/>
      <c r="C129" s="18"/>
      <c r="D129" s="19"/>
      <c r="F129" t="str">
        <f t="shared" si="10"/>
        <v/>
      </c>
      <c r="G129" s="19"/>
      <c r="H129" s="125"/>
      <c r="I129" s="22"/>
      <c r="J129" s="20"/>
      <c r="K129" s="25">
        <f>SUM(I123:I127)</f>
        <v>0</v>
      </c>
    </row>
    <row r="130" spans="1:11" x14ac:dyDescent="0.25">
      <c r="F130" t="str">
        <f t="shared" si="10"/>
        <v/>
      </c>
      <c r="H130" s="122"/>
      <c r="I130" s="16"/>
      <c r="J130" s="16"/>
      <c r="K130" s="7"/>
    </row>
    <row r="131" spans="1:11" ht="13" x14ac:dyDescent="0.3">
      <c r="A131" s="31" t="s">
        <v>21</v>
      </c>
      <c r="B131" s="27"/>
      <c r="C131" s="8" t="s">
        <v>43</v>
      </c>
      <c r="F131" t="str">
        <f t="shared" ref="F131:F142" si="11">IF(B131&gt;0,B131*D131,"")</f>
        <v/>
      </c>
      <c r="H131" s="115"/>
      <c r="I131" s="12" t="str">
        <f>IF(B131&gt;0,B131*H131,"")</f>
        <v/>
      </c>
      <c r="J131"/>
    </row>
    <row r="132" spans="1:11" x14ac:dyDescent="0.25">
      <c r="B132" s="27"/>
      <c r="C132" s="8" t="s">
        <v>51</v>
      </c>
      <c r="F132" t="str">
        <f t="shared" si="11"/>
        <v/>
      </c>
      <c r="H132" s="115"/>
      <c r="I132" s="12" t="str">
        <f>IF(B132&gt;0,B132*H132,"")</f>
        <v/>
      </c>
      <c r="J132" s="12"/>
    </row>
    <row r="133" spans="1:11" x14ac:dyDescent="0.25">
      <c r="B133" s="27"/>
      <c r="C133" s="8" t="s">
        <v>55</v>
      </c>
      <c r="F133" t="str">
        <f t="shared" si="11"/>
        <v/>
      </c>
      <c r="H133" s="120">
        <v>55</v>
      </c>
      <c r="I133" s="12" t="str">
        <f>IF(B133&gt;0,B133*H133,"")</f>
        <v/>
      </c>
      <c r="J133" s="12"/>
    </row>
    <row r="134" spans="1:11" x14ac:dyDescent="0.25">
      <c r="B134" s="30"/>
      <c r="C134" s="8" t="s">
        <v>19</v>
      </c>
      <c r="F134" t="str">
        <f t="shared" si="11"/>
        <v/>
      </c>
      <c r="H134" s="120">
        <v>35</v>
      </c>
      <c r="I134" s="12" t="str">
        <f>IF(B134&gt;0,B134*H134,"")</f>
        <v/>
      </c>
      <c r="J134" s="12"/>
    </row>
    <row r="135" spans="1:11" ht="13" thickBot="1" x14ac:dyDescent="0.3">
      <c r="B135" s="30"/>
      <c r="C135" s="8" t="s">
        <v>20</v>
      </c>
      <c r="F135" t="str">
        <f t="shared" si="11"/>
        <v/>
      </c>
      <c r="H135" s="120">
        <v>65</v>
      </c>
      <c r="I135" s="12" t="str">
        <f>IF(B135&gt;0,B135*H135,"")</f>
        <v/>
      </c>
      <c r="J135" s="12"/>
    </row>
    <row r="136" spans="1:11" ht="13.5" thickBot="1" x14ac:dyDescent="0.35">
      <c r="A136" s="54" t="s">
        <v>44</v>
      </c>
      <c r="B136" s="17"/>
      <c r="C136" s="18"/>
      <c r="D136" s="19"/>
      <c r="F136" t="str">
        <f t="shared" si="11"/>
        <v/>
      </c>
      <c r="G136" s="19"/>
      <c r="H136" s="125"/>
      <c r="I136" s="20"/>
      <c r="J136" s="20"/>
      <c r="K136" s="23">
        <f>SUM(I131:I135)</f>
        <v>0</v>
      </c>
    </row>
    <row r="137" spans="1:11" ht="13" thickBot="1" x14ac:dyDescent="0.3">
      <c r="F137" t="str">
        <f t="shared" si="11"/>
        <v/>
      </c>
    </row>
    <row r="138" spans="1:11" ht="13" thickBot="1" x14ac:dyDescent="0.3">
      <c r="F138" t="str">
        <f t="shared" si="11"/>
        <v/>
      </c>
      <c r="G138">
        <f>SUM(F16:F136)</f>
        <v>2029</v>
      </c>
      <c r="K138" s="32">
        <f>SUM(K88:K136)</f>
        <v>2759</v>
      </c>
    </row>
    <row r="139" spans="1:11" x14ac:dyDescent="0.25">
      <c r="F139" t="str">
        <f t="shared" si="11"/>
        <v/>
      </c>
    </row>
    <row r="140" spans="1:11" x14ac:dyDescent="0.25">
      <c r="B140" s="27"/>
      <c r="C140" s="8" t="s">
        <v>94</v>
      </c>
      <c r="F140" t="str">
        <f t="shared" si="11"/>
        <v/>
      </c>
      <c r="K140" t="str">
        <f>IF(B140=1,B140*0.03,"")</f>
        <v/>
      </c>
    </row>
    <row r="141" spans="1:11" x14ac:dyDescent="0.25">
      <c r="C141" s="8" t="s">
        <v>95</v>
      </c>
      <c r="F141" t="str">
        <f t="shared" si="11"/>
        <v/>
      </c>
      <c r="K141" s="7">
        <f>K138</f>
        <v>2759</v>
      </c>
    </row>
    <row r="142" spans="1:11" x14ac:dyDescent="0.25">
      <c r="C142" s="8" t="s">
        <v>96</v>
      </c>
      <c r="F142" t="str">
        <f t="shared" si="11"/>
        <v/>
      </c>
      <c r="K142" s="48"/>
    </row>
    <row r="143" spans="1:11" x14ac:dyDescent="0.25">
      <c r="K143" s="49"/>
    </row>
    <row r="144" spans="1:11" x14ac:dyDescent="0.25">
      <c r="K144" s="50"/>
    </row>
    <row r="147" spans="3:11" x14ac:dyDescent="0.25">
      <c r="C147" s="8" t="s">
        <v>97</v>
      </c>
      <c r="K147" s="51">
        <f>K141-K142-K143-K144</f>
        <v>2759</v>
      </c>
    </row>
  </sheetData>
  <sheetProtection algorithmName="SHA-512" hashValue="0x9tnXse2DHb8kRPXG0wmbpVHYgRh/GyNPF1xPqpnLD7CcxtK0xEa4ried2ZoRp4UXGz0fCt8o1uECOfmqyoAw==" saltValue="uWCI/2gHiauM4FZAAvWkUA==" spinCount="100000" sheet="1" selectLockedCells="1"/>
  <mergeCells count="2">
    <mergeCell ref="A109:A116"/>
    <mergeCell ref="A119:A120"/>
  </mergeCells>
  <phoneticPr fontId="0" type="noConversion"/>
  <printOptions horizontalCentered="1"/>
  <pageMargins left="0.25" right="0.25" top="0.5" bottom="0.5" header="0" footer="0"/>
  <pageSetup scale="8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FC01-C7E3-4B33-AA65-292932971692}">
  <sheetPr>
    <pageSetUpPr fitToPage="1"/>
  </sheetPr>
  <dimension ref="A1:M162"/>
  <sheetViews>
    <sheetView workbookViewId="0">
      <selection activeCell="B101" sqref="B101"/>
    </sheetView>
  </sheetViews>
  <sheetFormatPr defaultColWidth="9" defaultRowHeight="12.5" x14ac:dyDescent="0.25"/>
  <cols>
    <col min="1" max="1" width="21.81640625" style="139" customWidth="1"/>
    <col min="2" max="2" width="3.1796875" style="137" customWidth="1"/>
    <col min="3" max="3" width="58.453125" style="150" bestFit="1" customWidth="1"/>
    <col min="4" max="4" width="5.453125" style="139" hidden="1" customWidth="1"/>
    <col min="5" max="5" width="1.453125" style="139" hidden="1" customWidth="1"/>
    <col min="6" max="6" width="2.54296875" style="139" hidden="1" customWidth="1"/>
    <col min="7" max="7" width="7.26953125" style="139" customWidth="1"/>
    <col min="8" max="8" width="8.1796875" style="139" customWidth="1"/>
    <col min="9" max="9" width="9.26953125" style="140" bestFit="1" customWidth="1"/>
    <col min="10" max="10" width="9.453125" style="141" bestFit="1" customWidth="1"/>
    <col min="11" max="11" width="10.26953125" style="141" bestFit="1" customWidth="1"/>
    <col min="12" max="12" width="10.26953125" style="139" bestFit="1" customWidth="1"/>
    <col min="13" max="16384" width="9" style="139"/>
  </cols>
  <sheetData>
    <row r="1" spans="1:12" ht="22.5" thickBot="1" x14ac:dyDescent="0.45">
      <c r="A1" s="136" t="s">
        <v>139</v>
      </c>
      <c r="C1" s="138" t="s">
        <v>33</v>
      </c>
    </row>
    <row r="2" spans="1:12" ht="13" thickBot="1" x14ac:dyDescent="0.3">
      <c r="A2" s="142">
        <v>1982</v>
      </c>
      <c r="C2" s="143" t="s">
        <v>34</v>
      </c>
    </row>
    <row r="3" spans="1:12" ht="13" x14ac:dyDescent="0.3">
      <c r="A3" s="136" t="s">
        <v>48</v>
      </c>
      <c r="C3" s="144" t="s">
        <v>35</v>
      </c>
    </row>
    <row r="4" spans="1:12" ht="13" x14ac:dyDescent="0.3">
      <c r="A4" s="145"/>
      <c r="C4" s="144" t="s">
        <v>13</v>
      </c>
    </row>
    <row r="5" spans="1:12" ht="13.5" thickBot="1" x14ac:dyDescent="0.35">
      <c r="A5" s="146" t="s">
        <v>49</v>
      </c>
      <c r="C5" s="144" t="s">
        <v>36</v>
      </c>
    </row>
    <row r="6" spans="1:12" ht="13.5" thickBot="1" x14ac:dyDescent="0.35">
      <c r="A6" s="146" t="s">
        <v>46</v>
      </c>
      <c r="C6" s="144" t="s">
        <v>37</v>
      </c>
    </row>
    <row r="7" spans="1:12" ht="16" thickBot="1" x14ac:dyDescent="0.4">
      <c r="A7" s="142" t="s">
        <v>47</v>
      </c>
      <c r="C7" s="147" t="s">
        <v>38</v>
      </c>
    </row>
    <row r="8" spans="1:12" ht="15" x14ac:dyDescent="0.3">
      <c r="C8" s="148" t="s">
        <v>39</v>
      </c>
    </row>
    <row r="9" spans="1:12" ht="13" x14ac:dyDescent="0.3">
      <c r="A9" s="149" t="s">
        <v>203</v>
      </c>
      <c r="G9" s="217"/>
      <c r="H9" s="218"/>
      <c r="I9" s="217"/>
      <c r="J9" s="217"/>
    </row>
    <row r="10" spans="1:12" ht="13" x14ac:dyDescent="0.3">
      <c r="A10" s="149"/>
      <c r="G10" s="199"/>
      <c r="H10" s="200"/>
      <c r="I10" s="199"/>
      <c r="J10" s="199"/>
    </row>
    <row r="11" spans="1:12" ht="25" x14ac:dyDescent="0.25">
      <c r="G11" s="151">
        <v>964</v>
      </c>
      <c r="H11" s="204" t="s">
        <v>235</v>
      </c>
      <c r="I11" s="204" t="s">
        <v>236</v>
      </c>
      <c r="J11" s="151"/>
    </row>
    <row r="12" spans="1:12" x14ac:dyDescent="0.25">
      <c r="A12" s="139" t="s">
        <v>0</v>
      </c>
      <c r="B12" s="152"/>
      <c r="C12" s="150" t="s">
        <v>101</v>
      </c>
      <c r="D12" s="139">
        <v>6</v>
      </c>
      <c r="E12" s="139" t="str">
        <f t="shared" ref="E12:E35" si="0">IF(B12&gt;0,B12*D12,"")</f>
        <v/>
      </c>
      <c r="G12" s="141">
        <v>39</v>
      </c>
      <c r="H12" s="141"/>
      <c r="J12" s="141" t="str">
        <f>IF(B12&gt;0,B12*SUM(G12:I12),"")</f>
        <v/>
      </c>
      <c r="L12" s="153"/>
    </row>
    <row r="13" spans="1:12" x14ac:dyDescent="0.25">
      <c r="A13" s="139" t="s">
        <v>1</v>
      </c>
      <c r="B13" s="152"/>
      <c r="C13" s="150" t="s">
        <v>102</v>
      </c>
      <c r="D13" s="139">
        <v>25</v>
      </c>
      <c r="E13" s="139" t="str">
        <f t="shared" si="0"/>
        <v/>
      </c>
      <c r="G13" s="141">
        <v>79</v>
      </c>
      <c r="H13" s="141"/>
      <c r="J13" s="141" t="str">
        <f t="shared" ref="J13:J42" si="1">IF(B13&gt;0,B13*SUM(G13:I13),"")</f>
        <v/>
      </c>
    </row>
    <row r="14" spans="1:12" x14ac:dyDescent="0.25">
      <c r="A14" s="139" t="s">
        <v>5</v>
      </c>
      <c r="B14" s="152"/>
      <c r="C14" s="150" t="s">
        <v>76</v>
      </c>
      <c r="E14" s="139" t="str">
        <f t="shared" si="0"/>
        <v/>
      </c>
      <c r="G14" s="141">
        <v>50</v>
      </c>
      <c r="H14" s="141"/>
      <c r="J14" s="141" t="str">
        <f t="shared" si="1"/>
        <v/>
      </c>
    </row>
    <row r="15" spans="1:12" x14ac:dyDescent="0.25">
      <c r="A15" s="139" t="s">
        <v>6</v>
      </c>
      <c r="B15" s="152"/>
      <c r="C15" s="150" t="s">
        <v>77</v>
      </c>
      <c r="E15" s="139" t="str">
        <f t="shared" si="0"/>
        <v/>
      </c>
      <c r="F15" s="154"/>
      <c r="G15" s="141">
        <v>150</v>
      </c>
      <c r="H15" s="141"/>
      <c r="J15" s="141" t="str">
        <f t="shared" si="1"/>
        <v/>
      </c>
    </row>
    <row r="16" spans="1:12" x14ac:dyDescent="0.25">
      <c r="E16" s="139" t="str">
        <f t="shared" si="0"/>
        <v/>
      </c>
      <c r="F16" s="139">
        <f>SUM(E12:E15)</f>
        <v>0</v>
      </c>
      <c r="H16" s="141"/>
      <c r="J16" s="141" t="str">
        <f t="shared" si="1"/>
        <v/>
      </c>
    </row>
    <row r="17" spans="1:12" x14ac:dyDescent="0.25">
      <c r="A17" s="139" t="s">
        <v>3</v>
      </c>
      <c r="B17" s="152"/>
      <c r="C17" s="150" t="s">
        <v>14</v>
      </c>
      <c r="D17" s="139">
        <v>285</v>
      </c>
      <c r="E17" s="139" t="str">
        <f>IF(B17=1,D17,"")</f>
        <v/>
      </c>
      <c r="G17" s="141">
        <v>469</v>
      </c>
      <c r="H17" s="141"/>
      <c r="J17" s="141" t="str">
        <f t="shared" si="1"/>
        <v/>
      </c>
    </row>
    <row r="18" spans="1:12" ht="25" x14ac:dyDescent="0.25">
      <c r="B18" s="152"/>
      <c r="C18" s="150" t="s">
        <v>234</v>
      </c>
      <c r="D18" s="139">
        <v>485</v>
      </c>
      <c r="E18" s="139" t="str">
        <f>IF(B18&gt;0,B18*D18,"")</f>
        <v/>
      </c>
      <c r="I18" s="139">
        <v>200</v>
      </c>
      <c r="J18" s="141" t="str">
        <f t="shared" si="1"/>
        <v/>
      </c>
    </row>
    <row r="19" spans="1:12" x14ac:dyDescent="0.25">
      <c r="B19" s="152"/>
      <c r="C19" s="150" t="s">
        <v>8</v>
      </c>
      <c r="D19" s="139">
        <v>9</v>
      </c>
      <c r="E19" s="139" t="str">
        <f t="shared" si="0"/>
        <v/>
      </c>
      <c r="G19" s="140">
        <v>28</v>
      </c>
      <c r="H19" s="141"/>
      <c r="J19" s="141" t="str">
        <f t="shared" si="1"/>
        <v/>
      </c>
    </row>
    <row r="20" spans="1:12" x14ac:dyDescent="0.25">
      <c r="B20" s="152"/>
      <c r="C20" s="150" t="s">
        <v>12</v>
      </c>
      <c r="D20" s="139">
        <v>4</v>
      </c>
      <c r="E20" s="139" t="str">
        <f t="shared" si="0"/>
        <v/>
      </c>
      <c r="G20" s="140">
        <v>23</v>
      </c>
      <c r="H20" s="141"/>
      <c r="J20" s="141" t="str">
        <f t="shared" si="1"/>
        <v/>
      </c>
    </row>
    <row r="21" spans="1:12" x14ac:dyDescent="0.25">
      <c r="B21" s="152"/>
      <c r="C21" s="150" t="s">
        <v>9</v>
      </c>
      <c r="D21" s="139">
        <v>12</v>
      </c>
      <c r="E21" s="139" t="str">
        <f t="shared" si="0"/>
        <v/>
      </c>
      <c r="F21" s="154"/>
      <c r="G21" s="140">
        <v>22</v>
      </c>
      <c r="H21" s="141"/>
      <c r="J21" s="141" t="str">
        <f t="shared" si="1"/>
        <v/>
      </c>
    </row>
    <row r="22" spans="1:12" x14ac:dyDescent="0.25">
      <c r="E22" s="139" t="str">
        <f t="shared" si="0"/>
        <v/>
      </c>
      <c r="F22" s="139">
        <f>SUM(E17:E21)</f>
        <v>0</v>
      </c>
      <c r="H22" s="141"/>
      <c r="J22" s="141" t="str">
        <f t="shared" si="1"/>
        <v/>
      </c>
    </row>
    <row r="23" spans="1:12" x14ac:dyDescent="0.25">
      <c r="A23" s="139" t="s">
        <v>2</v>
      </c>
      <c r="B23" s="152"/>
      <c r="C23" s="150" t="s">
        <v>68</v>
      </c>
      <c r="D23" s="139">
        <v>160</v>
      </c>
      <c r="E23" s="139" t="str">
        <f t="shared" si="0"/>
        <v/>
      </c>
      <c r="G23" s="205">
        <v>529</v>
      </c>
      <c r="H23" s="141"/>
      <c r="J23" s="141" t="str">
        <f t="shared" si="1"/>
        <v/>
      </c>
    </row>
    <row r="24" spans="1:12" x14ac:dyDescent="0.25">
      <c r="B24" s="152"/>
      <c r="C24" s="150" t="s">
        <v>232</v>
      </c>
      <c r="H24" s="159">
        <v>30</v>
      </c>
      <c r="J24" s="141" t="str">
        <f t="shared" si="1"/>
        <v/>
      </c>
    </row>
    <row r="25" spans="1:12" x14ac:dyDescent="0.25">
      <c r="B25" s="156"/>
      <c r="C25" s="150" t="s">
        <v>10</v>
      </c>
      <c r="E25" s="139" t="str">
        <f t="shared" si="0"/>
        <v/>
      </c>
      <c r="G25" s="140" t="s">
        <v>204</v>
      </c>
      <c r="H25" s="141"/>
      <c r="J25" s="141" t="str">
        <f t="shared" si="1"/>
        <v/>
      </c>
    </row>
    <row r="26" spans="1:12" x14ac:dyDescent="0.25">
      <c r="E26" s="139" t="str">
        <f t="shared" si="0"/>
        <v/>
      </c>
      <c r="F26" s="139">
        <f>SUM(E23:E25)</f>
        <v>0</v>
      </c>
      <c r="H26" s="141"/>
      <c r="J26" s="141" t="str">
        <f t="shared" si="1"/>
        <v/>
      </c>
    </row>
    <row r="27" spans="1:12" x14ac:dyDescent="0.25">
      <c r="A27" s="139" t="s">
        <v>11</v>
      </c>
      <c r="B27" s="157"/>
      <c r="C27" s="150" t="s">
        <v>129</v>
      </c>
      <c r="D27" s="139">
        <v>10</v>
      </c>
      <c r="E27" s="139" t="str">
        <f>IF(B27&gt;0,B27*D27,"")</f>
        <v/>
      </c>
      <c r="G27" s="141">
        <v>27</v>
      </c>
      <c r="H27" s="141"/>
      <c r="J27" s="141" t="str">
        <f t="shared" si="1"/>
        <v/>
      </c>
    </row>
    <row r="28" spans="1:12" x14ac:dyDescent="0.25">
      <c r="B28" s="157"/>
      <c r="C28" s="150" t="s">
        <v>127</v>
      </c>
      <c r="D28" s="139">
        <v>11</v>
      </c>
      <c r="E28" s="139" t="str">
        <f>IF(B28&gt;0,B28*D28,"")</f>
        <v/>
      </c>
      <c r="H28" s="141"/>
      <c r="J28" s="141" t="str">
        <f t="shared" si="1"/>
        <v/>
      </c>
    </row>
    <row r="29" spans="1:12" x14ac:dyDescent="0.25">
      <c r="B29" s="157"/>
      <c r="C29" s="150" t="s">
        <v>4</v>
      </c>
      <c r="D29" s="139">
        <v>50</v>
      </c>
      <c r="E29" s="139" t="str">
        <f t="shared" si="0"/>
        <v/>
      </c>
      <c r="G29" s="141">
        <v>95</v>
      </c>
      <c r="H29" s="141"/>
      <c r="J29" s="141" t="str">
        <f t="shared" si="1"/>
        <v/>
      </c>
      <c r="L29" s="153"/>
    </row>
    <row r="30" spans="1:12" x14ac:dyDescent="0.25">
      <c r="B30" s="157"/>
      <c r="C30" s="150" t="s">
        <v>110</v>
      </c>
      <c r="D30" s="139">
        <v>12</v>
      </c>
      <c r="E30" s="139" t="str">
        <f t="shared" si="0"/>
        <v/>
      </c>
      <c r="F30" s="154"/>
      <c r="G30" s="141">
        <v>65</v>
      </c>
      <c r="H30" s="141"/>
      <c r="J30" s="141" t="str">
        <f t="shared" si="1"/>
        <v/>
      </c>
      <c r="L30" s="153"/>
    </row>
    <row r="31" spans="1:12" x14ac:dyDescent="0.25">
      <c r="B31" s="157"/>
      <c r="C31" s="150" t="s">
        <v>230</v>
      </c>
      <c r="G31" s="141">
        <v>65</v>
      </c>
      <c r="H31" s="141"/>
      <c r="J31" s="141" t="str">
        <f t="shared" si="1"/>
        <v/>
      </c>
      <c r="L31" s="153"/>
    </row>
    <row r="32" spans="1:12" x14ac:dyDescent="0.25">
      <c r="B32" s="157"/>
      <c r="C32" s="150" t="s">
        <v>231</v>
      </c>
      <c r="G32" s="141">
        <v>65</v>
      </c>
      <c r="H32" s="141"/>
      <c r="J32" s="141" t="str">
        <f t="shared" si="1"/>
        <v/>
      </c>
      <c r="L32" s="153"/>
    </row>
    <row r="33" spans="1:12" x14ac:dyDescent="0.25">
      <c r="B33" s="158"/>
      <c r="G33" s="141"/>
      <c r="H33" s="141"/>
      <c r="J33" s="141" t="str">
        <f t="shared" si="1"/>
        <v/>
      </c>
      <c r="L33" s="153"/>
    </row>
    <row r="34" spans="1:12" x14ac:dyDescent="0.25">
      <c r="A34" s="139" t="s">
        <v>7</v>
      </c>
      <c r="B34" s="157"/>
      <c r="C34" s="150" t="s">
        <v>70</v>
      </c>
      <c r="E34" s="139" t="str">
        <f t="shared" si="0"/>
        <v/>
      </c>
      <c r="F34" s="139">
        <f>SUM(E28:E30)</f>
        <v>0</v>
      </c>
      <c r="G34" s="141">
        <v>99</v>
      </c>
      <c r="H34" s="141"/>
      <c r="J34" s="141" t="str">
        <f t="shared" si="1"/>
        <v/>
      </c>
    </row>
    <row r="35" spans="1:12" x14ac:dyDescent="0.25">
      <c r="B35" s="157"/>
      <c r="C35" s="150" t="s">
        <v>71</v>
      </c>
      <c r="D35" s="139">
        <v>15</v>
      </c>
      <c r="E35" s="139" t="str">
        <f t="shared" si="0"/>
        <v/>
      </c>
      <c r="H35" s="141"/>
      <c r="J35" s="141" t="str">
        <f t="shared" si="1"/>
        <v/>
      </c>
    </row>
    <row r="36" spans="1:12" x14ac:dyDescent="0.25">
      <c r="B36" s="157"/>
      <c r="C36" s="150" t="s">
        <v>78</v>
      </c>
      <c r="G36" s="141">
        <v>35</v>
      </c>
      <c r="H36" s="141"/>
      <c r="J36" s="141" t="str">
        <f t="shared" si="1"/>
        <v/>
      </c>
    </row>
    <row r="37" spans="1:12" x14ac:dyDescent="0.25">
      <c r="B37" s="139"/>
      <c r="F37" s="154"/>
      <c r="H37" s="141"/>
      <c r="J37" s="141" t="str">
        <f t="shared" si="1"/>
        <v/>
      </c>
    </row>
    <row r="38" spans="1:12" x14ac:dyDescent="0.25">
      <c r="A38" s="139" t="s">
        <v>205</v>
      </c>
      <c r="B38" s="157"/>
      <c r="C38" s="150" t="s">
        <v>72</v>
      </c>
      <c r="D38" s="139">
        <v>80</v>
      </c>
      <c r="E38" s="139" t="str">
        <f t="shared" ref="E38:E43" si="2">IF(B38&gt;0,B38*D38,"")</f>
        <v/>
      </c>
      <c r="G38" s="159">
        <v>165</v>
      </c>
      <c r="H38" s="141"/>
      <c r="J38" s="141" t="str">
        <f t="shared" si="1"/>
        <v/>
      </c>
    </row>
    <row r="39" spans="1:12" x14ac:dyDescent="0.25">
      <c r="B39" s="157"/>
      <c r="C39" s="150" t="s">
        <v>233</v>
      </c>
      <c r="H39" s="159">
        <v>20</v>
      </c>
      <c r="J39" s="141" t="str">
        <f t="shared" si="1"/>
        <v/>
      </c>
    </row>
    <row r="40" spans="1:12" ht="13" x14ac:dyDescent="0.3">
      <c r="B40" s="157"/>
      <c r="C40" s="150" t="s">
        <v>111</v>
      </c>
      <c r="D40" s="139">
        <v>13</v>
      </c>
      <c r="E40" s="139" t="str">
        <f t="shared" si="2"/>
        <v/>
      </c>
      <c r="G40" s="160">
        <v>29</v>
      </c>
      <c r="H40" s="141"/>
      <c r="J40" s="141" t="str">
        <f t="shared" si="1"/>
        <v/>
      </c>
    </row>
    <row r="41" spans="1:12" ht="13" x14ac:dyDescent="0.3">
      <c r="B41" s="157"/>
      <c r="C41" s="150" t="s">
        <v>75</v>
      </c>
      <c r="D41" s="139">
        <v>59</v>
      </c>
      <c r="E41" s="139" t="str">
        <f t="shared" si="2"/>
        <v/>
      </c>
      <c r="G41" s="160">
        <v>102</v>
      </c>
      <c r="H41" s="141"/>
      <c r="J41" s="141" t="str">
        <f t="shared" si="1"/>
        <v/>
      </c>
    </row>
    <row r="42" spans="1:12" ht="13" x14ac:dyDescent="0.3">
      <c r="B42" s="157"/>
      <c r="C42" s="150" t="s">
        <v>74</v>
      </c>
      <c r="D42" s="139">
        <v>79</v>
      </c>
      <c r="E42" s="139" t="str">
        <f t="shared" si="2"/>
        <v/>
      </c>
      <c r="G42" s="160">
        <v>135</v>
      </c>
      <c r="H42" s="160"/>
      <c r="I42" s="160"/>
      <c r="J42" s="141" t="str">
        <f t="shared" si="1"/>
        <v/>
      </c>
    </row>
    <row r="43" spans="1:12" ht="13" thickBot="1" x14ac:dyDescent="0.3">
      <c r="E43" s="139" t="str">
        <f t="shared" si="2"/>
        <v/>
      </c>
      <c r="F43" s="139">
        <f>SUM(E38:E42)</f>
        <v>0</v>
      </c>
      <c r="I43" s="161"/>
      <c r="J43" s="162"/>
    </row>
    <row r="44" spans="1:12" ht="13" thickBot="1" x14ac:dyDescent="0.3">
      <c r="A44" s="163" t="s">
        <v>31</v>
      </c>
      <c r="B44" s="164"/>
      <c r="C44" s="165"/>
      <c r="D44" s="166">
        <f>SUM(D12:D42)-D18</f>
        <v>830</v>
      </c>
      <c r="F44" s="166">
        <f>SUM(F12:F43)</f>
        <v>0</v>
      </c>
      <c r="G44" s="167">
        <f>SUM(G12:G42)</f>
        <v>2271</v>
      </c>
      <c r="H44" s="167">
        <f>G44+SUM(H12:H43)</f>
        <v>2321</v>
      </c>
      <c r="I44" s="167">
        <f>H44+SUM(I12:I43)</f>
        <v>2521</v>
      </c>
      <c r="J44" s="211">
        <f>SUM(J12:J42)</f>
        <v>0</v>
      </c>
    </row>
    <row r="45" spans="1:12" x14ac:dyDescent="0.25">
      <c r="C45" s="139"/>
      <c r="E45" s="139" t="str">
        <f>IF(B45&gt;0,B45*D45,"")</f>
        <v/>
      </c>
    </row>
    <row r="46" spans="1:12" ht="26" x14ac:dyDescent="0.25">
      <c r="E46" s="139" t="str">
        <f>IF(B46&gt;0,B46*D46,"")</f>
        <v/>
      </c>
      <c r="G46" s="210" t="s">
        <v>239</v>
      </c>
      <c r="H46" s="210" t="s">
        <v>240</v>
      </c>
    </row>
    <row r="47" spans="1:12" x14ac:dyDescent="0.25">
      <c r="A47" s="139" t="s">
        <v>23</v>
      </c>
      <c r="B47" s="157"/>
      <c r="C47" s="150" t="s">
        <v>112</v>
      </c>
      <c r="D47" s="139">
        <v>428</v>
      </c>
      <c r="E47" s="139" t="str">
        <f>IF(B47&gt;0,B47*D47,"")</f>
        <v/>
      </c>
      <c r="G47" s="140">
        <v>699</v>
      </c>
      <c r="H47" s="159">
        <f>G47</f>
        <v>699</v>
      </c>
      <c r="J47" s="141" t="str">
        <f>IF(B47&gt;0,MAX(G47:H47),"")</f>
        <v/>
      </c>
    </row>
    <row r="48" spans="1:12" x14ac:dyDescent="0.25">
      <c r="B48" s="157"/>
      <c r="C48" s="150" t="s">
        <v>92</v>
      </c>
      <c r="E48" s="139" t="str">
        <f t="shared" ref="E48:E125" si="3">IF(B48&gt;0,B48*D48,"")</f>
        <v/>
      </c>
      <c r="G48" s="140">
        <v>1695</v>
      </c>
      <c r="H48" s="159">
        <f>G48</f>
        <v>1695</v>
      </c>
      <c r="J48" s="141" t="str">
        <f t="shared" ref="J48:J60" si="4">IF(B48&gt;0,MAX(G48:H48),"")</f>
        <v/>
      </c>
    </row>
    <row r="49" spans="1:13" x14ac:dyDescent="0.25">
      <c r="B49" s="157"/>
      <c r="C49" s="150" t="s">
        <v>116</v>
      </c>
      <c r="D49" s="139">
        <v>150</v>
      </c>
      <c r="E49" s="139" t="str">
        <f>IF(B49&gt;0,B49*D49,"")</f>
        <v/>
      </c>
      <c r="G49" s="140">
        <v>375</v>
      </c>
      <c r="H49" s="159" t="str">
        <f>IF(B49&gt;0,B49*G49,"")</f>
        <v/>
      </c>
      <c r="J49" s="141" t="str">
        <f t="shared" si="4"/>
        <v/>
      </c>
    </row>
    <row r="50" spans="1:13" x14ac:dyDescent="0.25">
      <c r="B50" s="157"/>
      <c r="C50" s="150" t="s">
        <v>119</v>
      </c>
      <c r="D50" s="139">
        <v>150</v>
      </c>
      <c r="F50" s="139" t="str">
        <f>IF(B50&gt;0,B50*D50,"")</f>
        <v/>
      </c>
      <c r="H50" s="139">
        <v>475</v>
      </c>
      <c r="J50" s="141" t="str">
        <f t="shared" si="4"/>
        <v/>
      </c>
      <c r="L50" s="159"/>
    </row>
    <row r="51" spans="1:13" x14ac:dyDescent="0.25">
      <c r="B51" s="157"/>
      <c r="C51" s="150" t="s">
        <v>118</v>
      </c>
      <c r="D51" s="139">
        <v>150</v>
      </c>
      <c r="E51" s="139" t="str">
        <f t="shared" si="3"/>
        <v/>
      </c>
      <c r="G51" s="140"/>
      <c r="H51" s="139">
        <v>475</v>
      </c>
      <c r="J51" s="141" t="str">
        <f t="shared" si="4"/>
        <v/>
      </c>
    </row>
    <row r="52" spans="1:13" x14ac:dyDescent="0.25">
      <c r="B52" s="157"/>
      <c r="C52" s="150" t="s">
        <v>123</v>
      </c>
      <c r="G52" s="140"/>
      <c r="H52" s="139">
        <v>995</v>
      </c>
      <c r="J52" s="141" t="str">
        <f t="shared" si="4"/>
        <v/>
      </c>
    </row>
    <row r="53" spans="1:13" x14ac:dyDescent="0.25">
      <c r="B53" s="157"/>
      <c r="C53" s="150" t="s">
        <v>206</v>
      </c>
      <c r="D53" s="139">
        <v>570</v>
      </c>
      <c r="E53" s="139" t="str">
        <f t="shared" si="3"/>
        <v/>
      </c>
      <c r="G53" s="140"/>
      <c r="H53" s="139">
        <v>1495</v>
      </c>
      <c r="J53" s="141" t="str">
        <f t="shared" si="4"/>
        <v/>
      </c>
    </row>
    <row r="54" spans="1:13" x14ac:dyDescent="0.25">
      <c r="B54" s="157">
        <v>1</v>
      </c>
      <c r="C54" s="150" t="s">
        <v>117</v>
      </c>
      <c r="D54" s="139">
        <v>110</v>
      </c>
      <c r="E54" s="139">
        <f>IF(B54&gt;0,B54*D54,"")</f>
        <v>110</v>
      </c>
      <c r="G54" s="140">
        <v>195</v>
      </c>
      <c r="H54" s="159">
        <f>IF(B54&gt;0,B54*G54,"")</f>
        <v>195</v>
      </c>
      <c r="J54" s="141">
        <f t="shared" si="4"/>
        <v>195</v>
      </c>
    </row>
    <row r="55" spans="1:13" x14ac:dyDescent="0.25">
      <c r="B55" s="157"/>
      <c r="C55" s="150" t="s">
        <v>27</v>
      </c>
      <c r="D55" s="139">
        <v>35</v>
      </c>
      <c r="E55" s="139" t="str">
        <f t="shared" si="3"/>
        <v/>
      </c>
      <c r="G55" s="140"/>
      <c r="H55" s="140">
        <v>65</v>
      </c>
      <c r="J55" s="141" t="str">
        <f t="shared" si="4"/>
        <v/>
      </c>
    </row>
    <row r="56" spans="1:13" x14ac:dyDescent="0.25">
      <c r="B56" s="157"/>
      <c r="C56" s="150" t="s">
        <v>17</v>
      </c>
      <c r="E56" s="139" t="str">
        <f t="shared" si="3"/>
        <v/>
      </c>
      <c r="G56" s="140"/>
      <c r="H56" s="140">
        <v>75</v>
      </c>
      <c r="J56" s="141" t="str">
        <f t="shared" si="4"/>
        <v/>
      </c>
    </row>
    <row r="57" spans="1:13" x14ac:dyDescent="0.25">
      <c r="B57" s="157"/>
      <c r="C57" s="150" t="s">
        <v>131</v>
      </c>
      <c r="G57" s="140"/>
      <c r="H57" s="140">
        <v>39</v>
      </c>
      <c r="J57" s="141" t="str">
        <f t="shared" si="4"/>
        <v/>
      </c>
    </row>
    <row r="58" spans="1:13" x14ac:dyDescent="0.25">
      <c r="B58" s="157"/>
      <c r="C58" s="150" t="s">
        <v>115</v>
      </c>
      <c r="D58" s="139">
        <v>35</v>
      </c>
      <c r="E58" s="139" t="str">
        <f t="shared" si="3"/>
        <v/>
      </c>
      <c r="G58" s="140">
        <v>89</v>
      </c>
      <c r="H58" s="159">
        <f>G58</f>
        <v>89</v>
      </c>
      <c r="J58" s="141" t="str">
        <f t="shared" si="4"/>
        <v/>
      </c>
    </row>
    <row r="59" spans="1:13" x14ac:dyDescent="0.25">
      <c r="B59" s="157"/>
      <c r="C59" s="150" t="s">
        <v>117</v>
      </c>
      <c r="D59" s="139">
        <v>8</v>
      </c>
      <c r="E59" s="139" t="str">
        <f t="shared" si="3"/>
        <v/>
      </c>
      <c r="G59" s="140">
        <v>195</v>
      </c>
      <c r="H59" s="159">
        <f>G59</f>
        <v>195</v>
      </c>
      <c r="J59" s="141" t="str">
        <f t="shared" si="4"/>
        <v/>
      </c>
    </row>
    <row r="60" spans="1:13" x14ac:dyDescent="0.25">
      <c r="B60" s="157"/>
      <c r="C60" s="150" t="s">
        <v>113</v>
      </c>
      <c r="D60" s="139">
        <v>0</v>
      </c>
      <c r="E60" s="139" t="str">
        <f t="shared" si="3"/>
        <v/>
      </c>
      <c r="G60" s="168">
        <v>39</v>
      </c>
      <c r="H60" s="169">
        <f>G60</f>
        <v>39</v>
      </c>
      <c r="I60" s="168"/>
      <c r="J60" s="206" t="str">
        <f t="shared" si="4"/>
        <v/>
      </c>
    </row>
    <row r="61" spans="1:13" x14ac:dyDescent="0.25">
      <c r="B61" s="139"/>
      <c r="C61" s="150" t="s">
        <v>207</v>
      </c>
      <c r="E61" s="139" t="str">
        <f t="shared" si="3"/>
        <v/>
      </c>
      <c r="F61" s="139">
        <f>SUM(E47:E60)</f>
        <v>110</v>
      </c>
      <c r="J61" s="203">
        <f>SUM(J46:J60)</f>
        <v>195</v>
      </c>
    </row>
    <row r="62" spans="1:13" x14ac:dyDescent="0.25">
      <c r="I62" s="161"/>
      <c r="J62" s="162"/>
      <c r="M62" s="155"/>
    </row>
    <row r="63" spans="1:13" ht="26" x14ac:dyDescent="0.25">
      <c r="B63" s="139"/>
      <c r="E63" s="139" t="str">
        <f t="shared" si="3"/>
        <v/>
      </c>
      <c r="G63" s="210" t="s">
        <v>239</v>
      </c>
      <c r="H63" s="210" t="s">
        <v>240</v>
      </c>
      <c r="J63" s="159"/>
    </row>
    <row r="64" spans="1:13" x14ac:dyDescent="0.25">
      <c r="A64" s="139" t="s">
        <v>24</v>
      </c>
      <c r="B64" s="157"/>
      <c r="C64" s="150" t="s">
        <v>237</v>
      </c>
      <c r="D64" s="139">
        <v>140</v>
      </c>
      <c r="E64" s="139" t="str">
        <f t="shared" si="3"/>
        <v/>
      </c>
      <c r="G64" s="207">
        <v>299</v>
      </c>
      <c r="H64" s="208">
        <f>G64</f>
        <v>299</v>
      </c>
      <c r="J64" s="141" t="str">
        <f>IF(B64&gt;0,MAX(G64:H64),"")</f>
        <v/>
      </c>
    </row>
    <row r="65" spans="1:11" ht="12" customHeight="1" x14ac:dyDescent="0.3">
      <c r="A65" s="149"/>
      <c r="B65" s="157"/>
      <c r="C65" s="150" t="s">
        <v>134</v>
      </c>
      <c r="G65" s="208">
        <v>195</v>
      </c>
      <c r="H65" s="208">
        <f>G65</f>
        <v>195</v>
      </c>
      <c r="I65" s="170" t="str">
        <f t="shared" ref="I65" si="5">IF(B65&gt;0,B65*H65,"")</f>
        <v/>
      </c>
      <c r="J65" s="141" t="str">
        <f t="shared" ref="J65:J85" si="6">IF(B65&gt;0,MAX(G65:H65),"")</f>
        <v/>
      </c>
    </row>
    <row r="66" spans="1:11" x14ac:dyDescent="0.25">
      <c r="B66" s="157"/>
      <c r="C66" s="150" t="s">
        <v>238</v>
      </c>
      <c r="F66" s="140">
        <v>85</v>
      </c>
      <c r="G66" s="208">
        <f>F66</f>
        <v>85</v>
      </c>
      <c r="H66" s="209"/>
      <c r="J66" s="141" t="str">
        <f t="shared" si="6"/>
        <v/>
      </c>
    </row>
    <row r="67" spans="1:11" x14ac:dyDescent="0.25">
      <c r="B67" s="157"/>
      <c r="C67" s="150" t="s">
        <v>135</v>
      </c>
      <c r="G67" s="209"/>
      <c r="H67" s="208">
        <v>85</v>
      </c>
      <c r="I67" s="170" t="str">
        <f t="shared" ref="I67" si="7">IF(B67&gt;0,B67*H67,"")</f>
        <v/>
      </c>
      <c r="J67" s="141" t="str">
        <f t="shared" si="6"/>
        <v/>
      </c>
    </row>
    <row r="68" spans="1:11" x14ac:dyDescent="0.25">
      <c r="B68" s="157"/>
      <c r="C68" s="150" t="s">
        <v>15</v>
      </c>
      <c r="D68" s="171"/>
      <c r="E68" s="171"/>
      <c r="F68" s="171"/>
      <c r="G68" s="207">
        <v>139</v>
      </c>
      <c r="H68" s="208">
        <f>G68</f>
        <v>139</v>
      </c>
      <c r="J68" s="141" t="str">
        <f t="shared" si="6"/>
        <v/>
      </c>
    </row>
    <row r="69" spans="1:11" x14ac:dyDescent="0.25">
      <c r="B69" s="157"/>
      <c r="C69" s="150" t="s">
        <v>133</v>
      </c>
      <c r="D69" s="171"/>
      <c r="E69" s="171"/>
      <c r="F69" s="171"/>
      <c r="G69" s="207"/>
      <c r="H69" s="208">
        <v>95</v>
      </c>
      <c r="J69" s="141" t="str">
        <f t="shared" si="6"/>
        <v/>
      </c>
    </row>
    <row r="70" spans="1:11" x14ac:dyDescent="0.25">
      <c r="B70" s="157"/>
      <c r="C70" s="150" t="str">
        <f>'993'!C86</f>
        <v>993 VRam vacuum line set with check valve</v>
      </c>
      <c r="D70" s="171"/>
      <c r="E70" s="171"/>
      <c r="F70" s="171"/>
      <c r="G70" s="207">
        <f>'993'!H86</f>
        <v>65</v>
      </c>
      <c r="H70" s="208">
        <f t="shared" ref="H70:H75" si="8">G70</f>
        <v>65</v>
      </c>
      <c r="J70" s="141" t="str">
        <f t="shared" si="6"/>
        <v/>
      </c>
    </row>
    <row r="71" spans="1:11" x14ac:dyDescent="0.25">
      <c r="B71" s="157"/>
      <c r="C71" s="150" t="s">
        <v>18</v>
      </c>
      <c r="D71" s="139">
        <v>85</v>
      </c>
      <c r="E71" s="139" t="str">
        <f t="shared" si="3"/>
        <v/>
      </c>
      <c r="G71" s="207">
        <v>199</v>
      </c>
      <c r="H71" s="208">
        <f t="shared" si="8"/>
        <v>199</v>
      </c>
      <c r="J71" s="141" t="str">
        <f t="shared" si="6"/>
        <v/>
      </c>
    </row>
    <row r="72" spans="1:11" x14ac:dyDescent="0.25">
      <c r="B72" s="157"/>
      <c r="C72" s="150" t="s">
        <v>16</v>
      </c>
      <c r="G72" s="207">
        <v>55</v>
      </c>
      <c r="H72" s="208">
        <f t="shared" si="8"/>
        <v>55</v>
      </c>
      <c r="J72" s="141" t="str">
        <f t="shared" si="6"/>
        <v/>
      </c>
    </row>
    <row r="73" spans="1:11" ht="37.5" x14ac:dyDescent="0.25">
      <c r="B73" s="157"/>
      <c r="C73" s="150" t="s">
        <v>79</v>
      </c>
      <c r="D73" s="139">
        <v>125</v>
      </c>
      <c r="E73" s="139" t="str">
        <f t="shared" si="3"/>
        <v/>
      </c>
      <c r="G73" s="207">
        <v>249</v>
      </c>
      <c r="H73" s="208">
        <f t="shared" si="8"/>
        <v>249</v>
      </c>
      <c r="J73" s="141" t="str">
        <f t="shared" si="6"/>
        <v/>
      </c>
    </row>
    <row r="74" spans="1:11" x14ac:dyDescent="0.25">
      <c r="B74" s="157"/>
      <c r="C74" s="150" t="s">
        <v>80</v>
      </c>
      <c r="E74" s="139" t="str">
        <f t="shared" si="3"/>
        <v/>
      </c>
      <c r="G74" s="207">
        <v>145</v>
      </c>
      <c r="H74" s="208">
        <f t="shared" si="8"/>
        <v>145</v>
      </c>
      <c r="J74" s="141" t="str">
        <f t="shared" si="6"/>
        <v/>
      </c>
    </row>
    <row r="75" spans="1:11" x14ac:dyDescent="0.25">
      <c r="B75" s="157"/>
      <c r="C75" s="150" t="s">
        <v>130</v>
      </c>
      <c r="E75" s="139" t="str">
        <f t="shared" si="3"/>
        <v/>
      </c>
      <c r="G75" s="207">
        <v>160</v>
      </c>
      <c r="H75" s="208">
        <f t="shared" si="8"/>
        <v>160</v>
      </c>
      <c r="J75" s="141" t="str">
        <f t="shared" si="6"/>
        <v/>
      </c>
    </row>
    <row r="76" spans="1:11" x14ac:dyDescent="0.25">
      <c r="B76" s="157"/>
      <c r="C76" s="150" t="s">
        <v>83</v>
      </c>
      <c r="D76" s="139">
        <v>65</v>
      </c>
      <c r="E76" s="139" t="str">
        <f>IF(B76&gt;0,B76*D76,"")</f>
        <v/>
      </c>
      <c r="G76" s="207">
        <v>127</v>
      </c>
      <c r="H76" s="208"/>
      <c r="J76" s="141" t="str">
        <f t="shared" si="6"/>
        <v/>
      </c>
    </row>
    <row r="77" spans="1:11" x14ac:dyDescent="0.25">
      <c r="B77" s="157"/>
      <c r="C77" s="150" t="s">
        <v>89</v>
      </c>
      <c r="G77" s="207"/>
      <c r="H77" s="208">
        <v>125</v>
      </c>
      <c r="J77" s="141" t="str">
        <f t="shared" si="6"/>
        <v/>
      </c>
    </row>
    <row r="78" spans="1:11" x14ac:dyDescent="0.25">
      <c r="B78" s="157"/>
      <c r="C78" s="150" t="s">
        <v>42</v>
      </c>
      <c r="D78" s="139">
        <v>82</v>
      </c>
      <c r="E78" s="139" t="str">
        <f>IF(B78&gt;0,B78*D78,"")</f>
        <v/>
      </c>
      <c r="G78" s="207">
        <v>28</v>
      </c>
      <c r="H78" s="208">
        <f>G78</f>
        <v>28</v>
      </c>
      <c r="J78" s="141" t="str">
        <f t="shared" si="6"/>
        <v/>
      </c>
    </row>
    <row r="79" spans="1:11" x14ac:dyDescent="0.25">
      <c r="B79" s="157"/>
      <c r="C79" s="150" t="s">
        <v>81</v>
      </c>
      <c r="G79" s="207">
        <v>14</v>
      </c>
      <c r="H79" s="208">
        <f>G79</f>
        <v>14</v>
      </c>
      <c r="J79" s="141" t="str">
        <f t="shared" si="6"/>
        <v/>
      </c>
    </row>
    <row r="80" spans="1:11" x14ac:dyDescent="0.25">
      <c r="B80" s="157"/>
      <c r="C80" s="150" t="s">
        <v>82</v>
      </c>
      <c r="G80" s="207">
        <v>29</v>
      </c>
      <c r="H80" s="208">
        <f>G80</f>
        <v>29</v>
      </c>
      <c r="J80" s="141" t="str">
        <f t="shared" si="6"/>
        <v/>
      </c>
      <c r="K80" s="159"/>
    </row>
    <row r="81" spans="1:11" x14ac:dyDescent="0.25">
      <c r="A81" s="139" t="s">
        <v>41</v>
      </c>
      <c r="B81" s="157"/>
      <c r="C81" s="172"/>
      <c r="D81" s="157"/>
      <c r="E81" s="139" t="str">
        <f t="shared" si="3"/>
        <v/>
      </c>
      <c r="F81" s="157"/>
      <c r="G81" s="157"/>
      <c r="H81" s="157"/>
      <c r="J81" s="141" t="str">
        <f t="shared" si="6"/>
        <v/>
      </c>
      <c r="K81" s="159"/>
    </row>
    <row r="82" spans="1:11" x14ac:dyDescent="0.25">
      <c r="B82" s="157"/>
      <c r="C82" s="172"/>
      <c r="D82" s="157"/>
      <c r="E82" s="139" t="str">
        <f t="shared" si="3"/>
        <v/>
      </c>
      <c r="F82" s="157"/>
      <c r="G82" s="157"/>
      <c r="H82" s="157"/>
      <c r="J82" s="141" t="str">
        <f t="shared" si="6"/>
        <v/>
      </c>
      <c r="K82" s="159"/>
    </row>
    <row r="83" spans="1:11" x14ac:dyDescent="0.25">
      <c r="B83" s="157"/>
      <c r="C83" s="172"/>
      <c r="D83" s="157"/>
      <c r="E83" s="139" t="str">
        <f t="shared" si="3"/>
        <v/>
      </c>
      <c r="F83" s="157"/>
      <c r="G83" s="157"/>
      <c r="H83" s="157"/>
      <c r="J83" s="141" t="str">
        <f t="shared" si="6"/>
        <v/>
      </c>
      <c r="K83" s="159"/>
    </row>
    <row r="84" spans="1:11" x14ac:dyDescent="0.25">
      <c r="B84" s="157"/>
      <c r="C84" s="172"/>
      <c r="D84" s="157"/>
      <c r="E84" s="139" t="str">
        <f t="shared" si="3"/>
        <v/>
      </c>
      <c r="F84" s="157"/>
      <c r="G84" s="157"/>
      <c r="H84" s="157"/>
      <c r="J84" s="141" t="str">
        <f t="shared" si="6"/>
        <v/>
      </c>
      <c r="K84" s="159"/>
    </row>
    <row r="85" spans="1:11" ht="13" thickBot="1" x14ac:dyDescent="0.3">
      <c r="B85" s="157"/>
      <c r="C85" s="172"/>
      <c r="D85" s="157"/>
      <c r="E85" s="139" t="str">
        <f t="shared" si="3"/>
        <v/>
      </c>
      <c r="F85" s="157"/>
      <c r="G85" s="157"/>
      <c r="H85" s="157"/>
      <c r="J85" s="141" t="str">
        <f t="shared" si="6"/>
        <v/>
      </c>
      <c r="K85" s="159"/>
    </row>
    <row r="86" spans="1:11" ht="13" thickBot="1" x14ac:dyDescent="0.3">
      <c r="C86" s="150" t="s">
        <v>241</v>
      </c>
      <c r="E86" s="139" t="str">
        <f t="shared" si="3"/>
        <v/>
      </c>
      <c r="F86" s="166">
        <f>SUM(E64:E85)</f>
        <v>0</v>
      </c>
      <c r="I86" s="161"/>
      <c r="J86" s="203">
        <f>SUM(J64:J85)</f>
        <v>0</v>
      </c>
      <c r="K86" s="159"/>
    </row>
    <row r="87" spans="1:11" ht="13" thickBot="1" x14ac:dyDescent="0.3">
      <c r="A87" s="175" t="s">
        <v>28</v>
      </c>
      <c r="B87" s="164"/>
      <c r="C87" s="165"/>
      <c r="D87" s="166"/>
      <c r="E87" s="139" t="str">
        <f t="shared" si="3"/>
        <v/>
      </c>
      <c r="G87" s="167"/>
      <c r="H87" s="167"/>
      <c r="I87" s="167"/>
      <c r="J87" s="176"/>
      <c r="K87" s="212">
        <f>J86+J61+J44</f>
        <v>195</v>
      </c>
    </row>
    <row r="88" spans="1:11" x14ac:dyDescent="0.25">
      <c r="E88" s="139" t="str">
        <f t="shared" si="3"/>
        <v/>
      </c>
    </row>
    <row r="89" spans="1:11" x14ac:dyDescent="0.25">
      <c r="A89" s="139" t="s">
        <v>26</v>
      </c>
      <c r="B89" s="139"/>
      <c r="C89" s="139"/>
      <c r="I89" s="139"/>
      <c r="J89" s="139"/>
      <c r="K89" s="139"/>
    </row>
    <row r="90" spans="1:11" x14ac:dyDescent="0.25">
      <c r="B90" s="157"/>
      <c r="C90" s="150" t="s">
        <v>59</v>
      </c>
      <c r="G90" s="140">
        <v>1795</v>
      </c>
      <c r="H90" s="159"/>
      <c r="J90" s="141" t="str">
        <f t="shared" ref="J90:J105" si="9">IF(B90&gt;0,MAX(G90:H90),"")</f>
        <v/>
      </c>
      <c r="K90" s="159"/>
    </row>
    <row r="91" spans="1:11" x14ac:dyDescent="0.25">
      <c r="B91" s="157"/>
      <c r="C91" s="150" t="s">
        <v>208</v>
      </c>
      <c r="G91" s="140">
        <v>495</v>
      </c>
      <c r="H91" s="159"/>
      <c r="J91" s="141" t="str">
        <f t="shared" si="9"/>
        <v/>
      </c>
      <c r="K91" s="159"/>
    </row>
    <row r="92" spans="1:11" x14ac:dyDescent="0.25">
      <c r="B92" s="157"/>
      <c r="C92" s="150" t="s">
        <v>209</v>
      </c>
      <c r="G92" s="140">
        <v>595</v>
      </c>
      <c r="H92" s="159"/>
      <c r="J92" s="141" t="str">
        <f t="shared" si="9"/>
        <v/>
      </c>
      <c r="K92" s="159"/>
    </row>
    <row r="93" spans="1:11" x14ac:dyDescent="0.25">
      <c r="B93" s="157"/>
      <c r="C93" s="150" t="s">
        <v>210</v>
      </c>
      <c r="G93" s="140">
        <v>625</v>
      </c>
      <c r="H93" s="159"/>
      <c r="J93" s="141" t="str">
        <f t="shared" si="9"/>
        <v/>
      </c>
      <c r="K93" s="159"/>
    </row>
    <row r="94" spans="1:11" x14ac:dyDescent="0.25">
      <c r="B94" s="157"/>
      <c r="C94" s="150" t="s">
        <v>58</v>
      </c>
      <c r="D94" s="139">
        <v>1650</v>
      </c>
      <c r="E94" s="139" t="str">
        <f t="shared" si="3"/>
        <v/>
      </c>
      <c r="G94" s="140">
        <v>2995</v>
      </c>
      <c r="H94" s="159"/>
      <c r="J94" s="141" t="str">
        <f t="shared" si="9"/>
        <v/>
      </c>
      <c r="K94" s="159"/>
    </row>
    <row r="95" spans="1:11" x14ac:dyDescent="0.25">
      <c r="B95" s="157"/>
      <c r="C95" s="150" t="s">
        <v>211</v>
      </c>
      <c r="G95" s="140">
        <v>195</v>
      </c>
      <c r="H95" s="159"/>
      <c r="J95" s="141" t="str">
        <f t="shared" si="9"/>
        <v/>
      </c>
      <c r="K95" s="159"/>
    </row>
    <row r="96" spans="1:11" x14ac:dyDescent="0.25">
      <c r="B96" s="157"/>
      <c r="C96" s="150" t="s">
        <v>61</v>
      </c>
      <c r="D96" s="139">
        <v>73</v>
      </c>
      <c r="E96" s="139" t="str">
        <f>IF(B96&gt;0,B96*D96,"")</f>
        <v/>
      </c>
      <c r="G96" s="140">
        <v>195</v>
      </c>
      <c r="H96" s="159"/>
      <c r="J96" s="141" t="str">
        <f t="shared" si="9"/>
        <v/>
      </c>
      <c r="K96" s="159"/>
    </row>
    <row r="97" spans="1:12" x14ac:dyDescent="0.25">
      <c r="B97" s="157"/>
      <c r="C97" s="150" t="s">
        <v>62</v>
      </c>
      <c r="G97" s="140" t="s">
        <v>125</v>
      </c>
      <c r="H97" s="159"/>
      <c r="J97" s="141" t="str">
        <f t="shared" si="9"/>
        <v/>
      </c>
      <c r="K97" s="159"/>
    </row>
    <row r="98" spans="1:12" x14ac:dyDescent="0.25">
      <c r="B98" s="157"/>
      <c r="C98" s="150" t="s">
        <v>63</v>
      </c>
      <c r="G98" s="140">
        <v>395</v>
      </c>
      <c r="H98" s="159"/>
      <c r="J98" s="141" t="str">
        <f t="shared" si="9"/>
        <v/>
      </c>
      <c r="K98" s="159"/>
    </row>
    <row r="99" spans="1:12" x14ac:dyDescent="0.25">
      <c r="B99" s="157"/>
      <c r="C99" s="150" t="s">
        <v>64</v>
      </c>
      <c r="G99" s="140">
        <v>495</v>
      </c>
      <c r="H99" s="159"/>
      <c r="J99" s="141" t="str">
        <f t="shared" si="9"/>
        <v/>
      </c>
      <c r="K99" s="159"/>
    </row>
    <row r="100" spans="1:12" ht="25" x14ac:dyDescent="0.25">
      <c r="B100" s="157"/>
      <c r="C100" s="150" t="s">
        <v>85</v>
      </c>
      <c r="G100" s="140">
        <v>1795</v>
      </c>
      <c r="H100" s="159"/>
      <c r="J100" s="141" t="str">
        <f t="shared" si="9"/>
        <v/>
      </c>
      <c r="K100" s="159"/>
    </row>
    <row r="101" spans="1:12" x14ac:dyDescent="0.25">
      <c r="B101" s="157"/>
      <c r="C101" s="150" t="s">
        <v>122</v>
      </c>
      <c r="G101" s="140">
        <v>125</v>
      </c>
      <c r="H101" s="159"/>
      <c r="J101" s="141" t="str">
        <f t="shared" si="9"/>
        <v/>
      </c>
      <c r="K101" s="159"/>
    </row>
    <row r="102" spans="1:12" x14ac:dyDescent="0.25">
      <c r="B102" s="157"/>
      <c r="C102" s="150" t="s">
        <v>84</v>
      </c>
      <c r="G102" s="140">
        <v>139</v>
      </c>
      <c r="H102" s="159"/>
      <c r="J102" s="141" t="str">
        <f t="shared" si="9"/>
        <v/>
      </c>
      <c r="K102" s="159"/>
    </row>
    <row r="103" spans="1:12" ht="15" customHeight="1" x14ac:dyDescent="0.25">
      <c r="B103" s="157"/>
      <c r="C103" s="150" t="s">
        <v>60</v>
      </c>
      <c r="G103" s="140">
        <v>1195</v>
      </c>
      <c r="H103" s="159"/>
      <c r="J103" s="141" t="str">
        <f t="shared" si="9"/>
        <v/>
      </c>
      <c r="K103" s="159"/>
    </row>
    <row r="104" spans="1:12" x14ac:dyDescent="0.25">
      <c r="B104" s="157"/>
      <c r="C104" s="150" t="s">
        <v>86</v>
      </c>
      <c r="G104" s="140">
        <v>199</v>
      </c>
      <c r="H104" s="159"/>
      <c r="J104" s="141" t="str">
        <f t="shared" si="9"/>
        <v/>
      </c>
      <c r="K104" s="159"/>
    </row>
    <row r="105" spans="1:12" x14ac:dyDescent="0.25">
      <c r="B105" s="157"/>
      <c r="C105" s="150" t="s">
        <v>212</v>
      </c>
      <c r="G105" s="140">
        <v>1995</v>
      </c>
      <c r="H105" s="159"/>
      <c r="J105" s="141" t="str">
        <f t="shared" si="9"/>
        <v/>
      </c>
      <c r="K105" s="159"/>
    </row>
    <row r="106" spans="1:12" ht="13" thickBot="1" x14ac:dyDescent="0.3">
      <c r="E106" s="139" t="str">
        <f t="shared" si="3"/>
        <v/>
      </c>
      <c r="I106" s="161"/>
      <c r="J106" s="174"/>
      <c r="K106" s="174"/>
    </row>
    <row r="107" spans="1:12" ht="13" thickBot="1" x14ac:dyDescent="0.3">
      <c r="A107" s="175" t="s">
        <v>30</v>
      </c>
      <c r="B107" s="166"/>
      <c r="C107" s="166"/>
      <c r="D107" s="166"/>
      <c r="E107" s="139" t="str">
        <f t="shared" si="3"/>
        <v/>
      </c>
      <c r="F107" s="166">
        <f>SUM(E89:E100)</f>
        <v>0</v>
      </c>
      <c r="G107" s="166"/>
      <c r="H107" s="166"/>
      <c r="I107" s="167"/>
      <c r="J107" s="167"/>
      <c r="K107" s="213">
        <f>SUM(J90:J105)</f>
        <v>0</v>
      </c>
    </row>
    <row r="108" spans="1:12" ht="13" x14ac:dyDescent="0.3">
      <c r="A108" s="149" t="s">
        <v>50</v>
      </c>
      <c r="B108" s="139"/>
      <c r="C108" s="139"/>
      <c r="E108" s="139" t="str">
        <f t="shared" si="3"/>
        <v/>
      </c>
      <c r="I108" s="161"/>
      <c r="J108" s="161"/>
      <c r="K108" s="162"/>
      <c r="L108" s="162"/>
    </row>
    <row r="109" spans="1:12" ht="25" x14ac:dyDescent="0.25">
      <c r="A109" s="215" t="s">
        <v>155</v>
      </c>
      <c r="B109" s="27"/>
      <c r="C109" s="9" t="s">
        <v>156</v>
      </c>
      <c r="D109"/>
      <c r="E109"/>
      <c r="F109" t="s">
        <v>124</v>
      </c>
      <c r="G109" s="122">
        <v>895</v>
      </c>
      <c r="J109" s="141" t="str">
        <f t="shared" ref="J109:J120" si="10">IF(B109&gt;0,MAX(G109:H109),"")</f>
        <v/>
      </c>
      <c r="K109" s="159"/>
      <c r="L109" s="162"/>
    </row>
    <row r="110" spans="1:12" ht="25" x14ac:dyDescent="0.25">
      <c r="A110" s="215"/>
      <c r="B110" s="27"/>
      <c r="C110" s="8" t="s">
        <v>218</v>
      </c>
      <c r="D110"/>
      <c r="E110"/>
      <c r="F110"/>
      <c r="G110" s="129">
        <v>995</v>
      </c>
      <c r="J110" s="141" t="str">
        <f t="shared" si="10"/>
        <v/>
      </c>
      <c r="K110" s="159"/>
      <c r="L110" s="162"/>
    </row>
    <row r="111" spans="1:12" ht="25" x14ac:dyDescent="0.25">
      <c r="A111" s="215"/>
      <c r="B111" s="27"/>
      <c r="C111" s="8" t="s">
        <v>219</v>
      </c>
      <c r="D111"/>
      <c r="E111"/>
      <c r="F111"/>
      <c r="G111" s="129">
        <v>1395</v>
      </c>
      <c r="J111" s="141" t="str">
        <f t="shared" si="10"/>
        <v/>
      </c>
      <c r="K111" s="159"/>
      <c r="L111" s="162"/>
    </row>
    <row r="112" spans="1:12" x14ac:dyDescent="0.25">
      <c r="A112" s="215"/>
      <c r="B112" s="27"/>
      <c r="C112" s="9" t="s">
        <v>184</v>
      </c>
      <c r="D112"/>
      <c r="E112"/>
      <c r="F112"/>
      <c r="G112" s="122">
        <v>995</v>
      </c>
      <c r="J112" s="141" t="str">
        <f t="shared" si="10"/>
        <v/>
      </c>
      <c r="K112" s="159"/>
      <c r="L112" s="162"/>
    </row>
    <row r="113" spans="1:12" ht="25" x14ac:dyDescent="0.25">
      <c r="A113" s="215"/>
      <c r="B113" s="27"/>
      <c r="C113" s="9" t="s">
        <v>185</v>
      </c>
      <c r="D113"/>
      <c r="E113"/>
      <c r="F113" t="s">
        <v>124</v>
      </c>
      <c r="G113" s="122">
        <v>995</v>
      </c>
      <c r="J113" s="141" t="str">
        <f t="shared" si="10"/>
        <v/>
      </c>
      <c r="K113" s="159"/>
      <c r="L113" s="162"/>
    </row>
    <row r="114" spans="1:12" x14ac:dyDescent="0.25">
      <c r="A114" s="215"/>
      <c r="B114" s="27"/>
      <c r="C114" s="8" t="s">
        <v>154</v>
      </c>
      <c r="D114"/>
      <c r="E114"/>
      <c r="F114" t="s">
        <v>124</v>
      </c>
      <c r="G114" s="122">
        <v>1495</v>
      </c>
      <c r="J114" s="141" t="str">
        <f t="shared" si="10"/>
        <v/>
      </c>
      <c r="K114" s="159"/>
      <c r="L114" s="162"/>
    </row>
    <row r="115" spans="1:12" ht="27.75" customHeight="1" x14ac:dyDescent="0.25">
      <c r="A115" s="215"/>
      <c r="B115" s="27"/>
      <c r="C115" s="9" t="s">
        <v>138</v>
      </c>
      <c r="D115"/>
      <c r="E115"/>
      <c r="F115"/>
      <c r="G115" s="122">
        <v>1295</v>
      </c>
      <c r="J115" s="141" t="str">
        <f t="shared" si="10"/>
        <v/>
      </c>
      <c r="K115" s="159"/>
      <c r="L115" s="162"/>
    </row>
    <row r="116" spans="1:12" ht="25" x14ac:dyDescent="0.25">
      <c r="A116" s="215"/>
      <c r="B116" s="27"/>
      <c r="C116" s="113" t="s">
        <v>217</v>
      </c>
      <c r="D116"/>
      <c r="E116"/>
      <c r="F116"/>
      <c r="G116" s="129">
        <v>1595</v>
      </c>
      <c r="J116" s="141" t="str">
        <f t="shared" si="10"/>
        <v/>
      </c>
      <c r="K116" s="159"/>
      <c r="L116" s="162"/>
    </row>
    <row r="117" spans="1:12" ht="25" x14ac:dyDescent="0.25">
      <c r="A117" s="181"/>
      <c r="B117" s="27"/>
      <c r="C117" s="113" t="s">
        <v>216</v>
      </c>
      <c r="D117"/>
      <c r="E117"/>
      <c r="F117"/>
      <c r="G117" s="129">
        <v>2395</v>
      </c>
      <c r="J117" s="141" t="str">
        <f t="shared" si="10"/>
        <v/>
      </c>
      <c r="K117" s="159"/>
      <c r="L117" s="162"/>
    </row>
    <row r="118" spans="1:12" ht="18.75" customHeight="1" x14ac:dyDescent="0.25">
      <c r="A118" s="181"/>
      <c r="B118" s="27"/>
      <c r="C118" s="113" t="s">
        <v>220</v>
      </c>
      <c r="D118"/>
      <c r="E118"/>
      <c r="F118"/>
      <c r="G118" s="129">
        <v>2650</v>
      </c>
      <c r="J118" s="141" t="str">
        <f t="shared" si="10"/>
        <v/>
      </c>
      <c r="K118" s="159"/>
      <c r="L118" s="162"/>
    </row>
    <row r="119" spans="1:12" ht="25" x14ac:dyDescent="0.25">
      <c r="A119" s="216" t="s">
        <v>157</v>
      </c>
      <c r="B119" s="27"/>
      <c r="C119" s="9" t="s">
        <v>153</v>
      </c>
      <c r="D119"/>
      <c r="E119"/>
      <c r="F119" t="s">
        <v>124</v>
      </c>
      <c r="G119" s="122">
        <v>395</v>
      </c>
      <c r="J119" s="141" t="str">
        <f t="shared" si="10"/>
        <v/>
      </c>
      <c r="K119" s="159"/>
      <c r="L119" s="162"/>
    </row>
    <row r="120" spans="1:12" ht="25.5" thickBot="1" x14ac:dyDescent="0.3">
      <c r="A120" s="216"/>
      <c r="B120" s="27"/>
      <c r="C120" s="9" t="s">
        <v>158</v>
      </c>
      <c r="D120"/>
      <c r="E120"/>
      <c r="F120"/>
      <c r="G120" s="129">
        <v>199</v>
      </c>
      <c r="J120" s="141" t="str">
        <f t="shared" si="10"/>
        <v/>
      </c>
      <c r="K120" s="159"/>
      <c r="L120" s="162"/>
    </row>
    <row r="121" spans="1:12" ht="13" thickBot="1" x14ac:dyDescent="0.3">
      <c r="A121" s="175" t="s">
        <v>57</v>
      </c>
      <c r="B121" s="166"/>
      <c r="C121" s="166"/>
      <c r="D121" s="166"/>
      <c r="E121" s="139" t="str">
        <f t="shared" si="3"/>
        <v/>
      </c>
      <c r="F121" s="166">
        <f>SUM(E108:E120)</f>
        <v>0</v>
      </c>
      <c r="G121" s="166"/>
      <c r="H121" s="166"/>
      <c r="I121" s="167"/>
      <c r="J121" s="167"/>
      <c r="K121" s="213">
        <f>SUM(J109:J120)</f>
        <v>0</v>
      </c>
    </row>
    <row r="122" spans="1:12" x14ac:dyDescent="0.25">
      <c r="B122" s="139"/>
      <c r="E122" s="139" t="str">
        <f t="shared" si="3"/>
        <v/>
      </c>
      <c r="J122" s="159" t="str">
        <f>IF(B122&gt;0,B122*I122,"")</f>
        <v/>
      </c>
      <c r="K122" s="139"/>
    </row>
    <row r="123" spans="1:12" x14ac:dyDescent="0.25">
      <c r="E123" s="139" t="str">
        <f t="shared" si="3"/>
        <v/>
      </c>
      <c r="I123" s="161"/>
      <c r="J123" s="174"/>
      <c r="K123" s="155"/>
    </row>
    <row r="124" spans="1:12" ht="13" x14ac:dyDescent="0.3">
      <c r="E124" s="139" t="str">
        <f t="shared" si="3"/>
        <v/>
      </c>
      <c r="K124" s="160"/>
    </row>
    <row r="125" spans="1:12" ht="13" thickBot="1" x14ac:dyDescent="0.3">
      <c r="A125" s="139" t="s">
        <v>21</v>
      </c>
      <c r="B125" s="157"/>
      <c r="C125" s="150" t="s">
        <v>43</v>
      </c>
      <c r="E125" s="139" t="str">
        <f t="shared" si="3"/>
        <v/>
      </c>
      <c r="J125" s="159" t="str">
        <f>IF(B125&gt;0,B125*K125,"")</f>
        <v/>
      </c>
      <c r="K125" s="173"/>
    </row>
    <row r="126" spans="1:12" ht="13" thickBot="1" x14ac:dyDescent="0.3">
      <c r="A126" s="175" t="s">
        <v>44</v>
      </c>
      <c r="B126" s="164"/>
      <c r="C126" s="165"/>
      <c r="D126" s="166"/>
      <c r="E126" s="139" t="str">
        <f t="shared" ref="E126:E162" si="11">IF(B126&gt;0,B126*D126,"")</f>
        <v/>
      </c>
      <c r="F126" s="166"/>
      <c r="G126" s="166"/>
      <c r="H126" s="166"/>
      <c r="I126" s="167"/>
      <c r="J126" s="176"/>
      <c r="K126" s="212">
        <f>SUM(J125:J125)</f>
        <v>0</v>
      </c>
    </row>
    <row r="127" spans="1:12" ht="13" thickBot="1" x14ac:dyDescent="0.3">
      <c r="E127" s="139" t="str">
        <f t="shared" si="11"/>
        <v/>
      </c>
      <c r="F127" s="139">
        <f>SUM(E12:E126)</f>
        <v>110</v>
      </c>
      <c r="K127" s="139"/>
    </row>
    <row r="128" spans="1:12" ht="13.5" thickBot="1" x14ac:dyDescent="0.35">
      <c r="E128" s="139" t="str">
        <f t="shared" si="11"/>
        <v/>
      </c>
      <c r="K128" s="177">
        <f>SUM(L87:L126)</f>
        <v>0</v>
      </c>
    </row>
    <row r="129" spans="2:11" x14ac:dyDescent="0.25">
      <c r="E129" s="139" t="str">
        <f t="shared" si="11"/>
        <v/>
      </c>
    </row>
    <row r="130" spans="2:11" x14ac:dyDescent="0.25">
      <c r="E130" s="139" t="str">
        <f t="shared" si="11"/>
        <v/>
      </c>
    </row>
    <row r="131" spans="2:11" x14ac:dyDescent="0.25">
      <c r="E131" s="139" t="str">
        <f t="shared" si="11"/>
        <v/>
      </c>
    </row>
    <row r="132" spans="2:11" x14ac:dyDescent="0.25">
      <c r="E132" s="139" t="str">
        <f t="shared" si="11"/>
        <v/>
      </c>
    </row>
    <row r="133" spans="2:11" x14ac:dyDescent="0.25">
      <c r="E133" s="139" t="str">
        <f t="shared" si="11"/>
        <v/>
      </c>
    </row>
    <row r="134" spans="2:11" x14ac:dyDescent="0.25">
      <c r="E134" s="139" t="str">
        <f t="shared" si="11"/>
        <v/>
      </c>
    </row>
    <row r="135" spans="2:11" x14ac:dyDescent="0.25">
      <c r="E135" s="139" t="str">
        <f t="shared" si="11"/>
        <v/>
      </c>
    </row>
    <row r="136" spans="2:11" x14ac:dyDescent="0.25">
      <c r="E136" s="139" t="str">
        <f t="shared" si="11"/>
        <v/>
      </c>
    </row>
    <row r="137" spans="2:11" x14ac:dyDescent="0.25">
      <c r="E137" s="139" t="str">
        <f t="shared" si="11"/>
        <v/>
      </c>
    </row>
    <row r="138" spans="2:11" x14ac:dyDescent="0.25">
      <c r="E138" s="139" t="str">
        <f t="shared" si="11"/>
        <v/>
      </c>
    </row>
    <row r="139" spans="2:11" x14ac:dyDescent="0.25">
      <c r="E139" s="139" t="str">
        <f t="shared" si="11"/>
        <v/>
      </c>
    </row>
    <row r="140" spans="2:11" x14ac:dyDescent="0.25">
      <c r="E140" s="139" t="str">
        <f t="shared" si="11"/>
        <v/>
      </c>
    </row>
    <row r="141" spans="2:11" x14ac:dyDescent="0.25">
      <c r="E141" s="139" t="str">
        <f t="shared" si="11"/>
        <v/>
      </c>
    </row>
    <row r="142" spans="2:11" x14ac:dyDescent="0.25">
      <c r="B142" s="139"/>
      <c r="C142" s="139"/>
      <c r="E142" s="139" t="str">
        <f t="shared" si="11"/>
        <v/>
      </c>
      <c r="J142" s="140"/>
      <c r="K142" s="140"/>
    </row>
    <row r="143" spans="2:11" x14ac:dyDescent="0.25">
      <c r="B143" s="139"/>
      <c r="C143" s="139"/>
      <c r="E143" s="139" t="str">
        <f t="shared" si="11"/>
        <v/>
      </c>
      <c r="J143" s="140"/>
      <c r="K143" s="140"/>
    </row>
    <row r="144" spans="2:11" x14ac:dyDescent="0.25">
      <c r="B144" s="139"/>
      <c r="C144" s="139"/>
      <c r="E144" s="139" t="str">
        <f t="shared" si="11"/>
        <v/>
      </c>
      <c r="J144" s="140"/>
      <c r="K144" s="140"/>
    </row>
    <row r="145" spans="2:11" x14ac:dyDescent="0.25">
      <c r="B145" s="139"/>
      <c r="C145" s="139"/>
      <c r="E145" s="139" t="str">
        <f t="shared" si="11"/>
        <v/>
      </c>
      <c r="J145" s="140"/>
      <c r="K145" s="140"/>
    </row>
    <row r="146" spans="2:11" x14ac:dyDescent="0.25">
      <c r="B146" s="139"/>
      <c r="C146" s="139"/>
      <c r="E146" s="139" t="str">
        <f t="shared" si="11"/>
        <v/>
      </c>
      <c r="J146" s="140"/>
      <c r="K146" s="140"/>
    </row>
    <row r="147" spans="2:11" x14ac:dyDescent="0.25">
      <c r="B147" s="139"/>
      <c r="C147" s="139"/>
      <c r="E147" s="139" t="str">
        <f t="shared" si="11"/>
        <v/>
      </c>
      <c r="J147" s="140"/>
      <c r="K147" s="140"/>
    </row>
    <row r="148" spans="2:11" x14ac:dyDescent="0.25">
      <c r="B148" s="139"/>
      <c r="C148" s="139"/>
      <c r="E148" s="139" t="str">
        <f t="shared" si="11"/>
        <v/>
      </c>
      <c r="J148" s="140"/>
      <c r="K148" s="140"/>
    </row>
    <row r="149" spans="2:11" x14ac:dyDescent="0.25">
      <c r="B149" s="139"/>
      <c r="C149" s="139"/>
      <c r="E149" s="139" t="str">
        <f t="shared" si="11"/>
        <v/>
      </c>
      <c r="J149" s="140"/>
      <c r="K149" s="140"/>
    </row>
    <row r="150" spans="2:11" x14ac:dyDescent="0.25">
      <c r="B150" s="139"/>
      <c r="C150" s="139"/>
      <c r="E150" s="139" t="str">
        <f t="shared" si="11"/>
        <v/>
      </c>
      <c r="J150" s="140"/>
      <c r="K150" s="140"/>
    </row>
    <row r="151" spans="2:11" x14ac:dyDescent="0.25">
      <c r="B151" s="139"/>
      <c r="C151" s="139"/>
      <c r="E151" s="139" t="str">
        <f t="shared" si="11"/>
        <v/>
      </c>
      <c r="J151" s="140"/>
      <c r="K151" s="140"/>
    </row>
    <row r="152" spans="2:11" x14ac:dyDescent="0.25">
      <c r="B152" s="139"/>
      <c r="C152" s="139"/>
      <c r="E152" s="139" t="str">
        <f t="shared" si="11"/>
        <v/>
      </c>
      <c r="J152" s="140"/>
      <c r="K152" s="140"/>
    </row>
    <row r="153" spans="2:11" x14ac:dyDescent="0.25">
      <c r="B153" s="139"/>
      <c r="C153" s="139"/>
      <c r="E153" s="139" t="str">
        <f t="shared" si="11"/>
        <v/>
      </c>
      <c r="J153" s="140"/>
      <c r="K153" s="140"/>
    </row>
    <row r="154" spans="2:11" x14ac:dyDescent="0.25">
      <c r="B154" s="139"/>
      <c r="C154" s="139"/>
      <c r="E154" s="139" t="str">
        <f t="shared" si="11"/>
        <v/>
      </c>
      <c r="J154" s="140"/>
      <c r="K154" s="140"/>
    </row>
    <row r="155" spans="2:11" x14ac:dyDescent="0.25">
      <c r="B155" s="139"/>
      <c r="C155" s="139"/>
      <c r="E155" s="139" t="str">
        <f t="shared" si="11"/>
        <v/>
      </c>
      <c r="J155" s="140"/>
      <c r="K155" s="140"/>
    </row>
    <row r="156" spans="2:11" x14ac:dyDescent="0.25">
      <c r="B156" s="139"/>
      <c r="C156" s="139"/>
      <c r="E156" s="139" t="str">
        <f t="shared" si="11"/>
        <v/>
      </c>
      <c r="J156" s="140"/>
      <c r="K156" s="140"/>
    </row>
    <row r="157" spans="2:11" x14ac:dyDescent="0.25">
      <c r="B157" s="139"/>
      <c r="C157" s="139"/>
      <c r="E157" s="139" t="str">
        <f t="shared" si="11"/>
        <v/>
      </c>
      <c r="J157" s="140"/>
      <c r="K157" s="140"/>
    </row>
    <row r="158" spans="2:11" x14ac:dyDescent="0.25">
      <c r="B158" s="139"/>
      <c r="C158" s="139"/>
      <c r="E158" s="139" t="str">
        <f t="shared" si="11"/>
        <v/>
      </c>
      <c r="J158" s="140"/>
      <c r="K158" s="140"/>
    </row>
    <row r="159" spans="2:11" x14ac:dyDescent="0.25">
      <c r="B159" s="139"/>
      <c r="C159" s="139"/>
      <c r="E159" s="139" t="str">
        <f t="shared" si="11"/>
        <v/>
      </c>
      <c r="J159" s="140"/>
      <c r="K159" s="140"/>
    </row>
    <row r="160" spans="2:11" x14ac:dyDescent="0.25">
      <c r="B160" s="139"/>
      <c r="C160" s="139"/>
      <c r="E160" s="139" t="str">
        <f t="shared" si="11"/>
        <v/>
      </c>
      <c r="J160" s="140"/>
      <c r="K160" s="140"/>
    </row>
    <row r="161" spans="2:11" x14ac:dyDescent="0.25">
      <c r="B161" s="139"/>
      <c r="C161" s="139"/>
      <c r="E161" s="139" t="str">
        <f t="shared" si="11"/>
        <v/>
      </c>
      <c r="J161" s="140"/>
      <c r="K161" s="140"/>
    </row>
    <row r="162" spans="2:11" x14ac:dyDescent="0.25">
      <c r="B162" s="139"/>
      <c r="C162" s="139"/>
      <c r="E162" s="139" t="str">
        <f t="shared" si="11"/>
        <v/>
      </c>
      <c r="J162" s="140"/>
      <c r="K162" s="140"/>
    </row>
  </sheetData>
  <sheetProtection algorithmName="SHA-512" hashValue="MGxubUHksYRIXyNRR0+snmf+CpGJaA+U9yK3/TnsIrt+pFiQKC2FcfmWEW2kjPn58s39OgVCOTtjUzTKPiyM2Q==" saltValue="T7Er+sxwjAPmHQy/NW1o+w==" spinCount="100000" sheet="1" selectLockedCells="1"/>
  <mergeCells count="4">
    <mergeCell ref="G9:H9"/>
    <mergeCell ref="I9:J9"/>
    <mergeCell ref="A109:A116"/>
    <mergeCell ref="A119:A120"/>
  </mergeCells>
  <printOptions horizontalCentered="1"/>
  <pageMargins left="0.25" right="0.25" top="0.5" bottom="0.5" header="0" footer="0"/>
  <pageSetup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346F-CEB9-40FD-83AD-CE384BEA6FA9}">
  <dimension ref="A1:J21"/>
  <sheetViews>
    <sheetView workbookViewId="0">
      <selection activeCell="M11" sqref="M11"/>
    </sheetView>
  </sheetViews>
  <sheetFormatPr defaultColWidth="8.7265625" defaultRowHeight="14.5" x14ac:dyDescent="0.35"/>
  <cols>
    <col min="1" max="1" width="40.26953125" style="182" bestFit="1" customWidth="1"/>
    <col min="2" max="2" width="9.1796875" style="182" customWidth="1"/>
    <col min="3" max="3" width="6.1796875" style="182" customWidth="1"/>
    <col min="4" max="16384" width="8.7265625" style="182"/>
  </cols>
  <sheetData>
    <row r="1" spans="1:10" ht="15" thickBot="1" x14ac:dyDescent="0.4">
      <c r="B1" s="219" t="s">
        <v>186</v>
      </c>
      <c r="C1" s="221" t="s">
        <v>187</v>
      </c>
      <c r="D1" s="222"/>
      <c r="E1" s="222"/>
      <c r="F1" s="223"/>
    </row>
    <row r="2" spans="1:10" s="183" customFormat="1" ht="32.65" customHeight="1" thickBot="1" x14ac:dyDescent="0.4">
      <c r="A2" s="183" t="s">
        <v>188</v>
      </c>
      <c r="B2" s="220"/>
      <c r="C2" s="184" t="s">
        <v>189</v>
      </c>
      <c r="D2" s="202" t="s">
        <v>227</v>
      </c>
      <c r="E2" s="202" t="s">
        <v>191</v>
      </c>
      <c r="F2" s="185" t="s">
        <v>190</v>
      </c>
    </row>
    <row r="3" spans="1:10" x14ac:dyDescent="0.35">
      <c r="A3" s="182" t="s">
        <v>192</v>
      </c>
      <c r="B3" s="186">
        <v>1</v>
      </c>
      <c r="C3" s="187"/>
      <c r="D3" s="188">
        <v>110</v>
      </c>
      <c r="E3" s="188">
        <v>145</v>
      </c>
      <c r="F3" s="189">
        <v>170</v>
      </c>
      <c r="G3" s="183"/>
      <c r="H3" s="183"/>
      <c r="I3" s="183"/>
    </row>
    <row r="4" spans="1:10" x14ac:dyDescent="0.35">
      <c r="A4" s="182" t="s">
        <v>193</v>
      </c>
      <c r="B4" s="190">
        <v>2</v>
      </c>
      <c r="C4" s="191"/>
      <c r="D4" s="182">
        <v>60</v>
      </c>
      <c r="E4" s="182">
        <v>70</v>
      </c>
      <c r="F4" s="192">
        <v>80</v>
      </c>
      <c r="G4" s="183"/>
      <c r="H4" s="183"/>
      <c r="I4" s="183"/>
    </row>
    <row r="5" spans="1:10" x14ac:dyDescent="0.35">
      <c r="A5" s="201" t="s">
        <v>224</v>
      </c>
      <c r="B5" s="190">
        <v>5</v>
      </c>
      <c r="C5" s="191"/>
      <c r="D5" s="182">
        <v>245</v>
      </c>
      <c r="E5" s="182">
        <v>290</v>
      </c>
      <c r="F5" s="192">
        <v>340</v>
      </c>
      <c r="G5" s="183"/>
      <c r="H5" s="183"/>
      <c r="I5" s="183"/>
    </row>
    <row r="6" spans="1:10" x14ac:dyDescent="0.35">
      <c r="A6" s="201" t="s">
        <v>223</v>
      </c>
      <c r="B6" s="190">
        <v>1</v>
      </c>
      <c r="C6" s="191"/>
      <c r="D6" s="182">
        <v>50</v>
      </c>
      <c r="E6" s="182">
        <v>65</v>
      </c>
      <c r="F6" s="192">
        <v>75</v>
      </c>
      <c r="G6" s="183"/>
      <c r="H6" s="183"/>
      <c r="I6" s="183"/>
      <c r="J6" s="183"/>
    </row>
    <row r="7" spans="1:10" x14ac:dyDescent="0.35">
      <c r="A7" s="182" t="s">
        <v>194</v>
      </c>
      <c r="B7" s="190">
        <v>4</v>
      </c>
      <c r="C7" s="191"/>
      <c r="D7" s="182">
        <v>165</v>
      </c>
      <c r="E7" s="182">
        <v>190</v>
      </c>
      <c r="F7" s="192">
        <v>235</v>
      </c>
      <c r="G7" s="183"/>
      <c r="H7" s="183"/>
      <c r="I7" s="183"/>
      <c r="J7" s="183"/>
    </row>
    <row r="8" spans="1:10" x14ac:dyDescent="0.35">
      <c r="A8" s="182" t="s">
        <v>195</v>
      </c>
      <c r="B8" s="190">
        <v>4</v>
      </c>
      <c r="C8" s="191"/>
      <c r="D8" s="182">
        <v>185</v>
      </c>
      <c r="E8" s="182">
        <v>245</v>
      </c>
      <c r="F8" s="192">
        <v>295</v>
      </c>
      <c r="G8" s="183"/>
      <c r="H8" s="183"/>
      <c r="I8" s="183"/>
      <c r="J8" s="183"/>
    </row>
    <row r="9" spans="1:10" x14ac:dyDescent="0.35">
      <c r="A9" s="182" t="s">
        <v>196</v>
      </c>
      <c r="B9" s="190">
        <v>1</v>
      </c>
      <c r="C9" s="191"/>
      <c r="D9" s="182">
        <v>60</v>
      </c>
      <c r="E9" s="182">
        <v>70</v>
      </c>
      <c r="F9" s="192">
        <v>80</v>
      </c>
      <c r="G9" s="183"/>
      <c r="H9" s="183"/>
      <c r="I9" s="183"/>
      <c r="J9" s="183"/>
    </row>
    <row r="10" spans="1:10" x14ac:dyDescent="0.35">
      <c r="A10" s="201" t="s">
        <v>228</v>
      </c>
      <c r="B10" s="190">
        <v>1</v>
      </c>
      <c r="C10" s="191"/>
      <c r="D10" s="182">
        <v>60</v>
      </c>
      <c r="E10" s="182">
        <v>75</v>
      </c>
      <c r="F10" s="192">
        <v>95</v>
      </c>
      <c r="G10" s="183"/>
      <c r="H10" s="183"/>
      <c r="I10" s="183"/>
      <c r="J10" s="183"/>
    </row>
    <row r="11" spans="1:10" x14ac:dyDescent="0.35">
      <c r="A11" s="201" t="s">
        <v>229</v>
      </c>
      <c r="B11" s="190">
        <v>2</v>
      </c>
      <c r="C11" s="191"/>
      <c r="D11" s="182">
        <v>35</v>
      </c>
      <c r="E11" s="182">
        <v>45</v>
      </c>
      <c r="F11" s="192">
        <v>50</v>
      </c>
      <c r="G11" s="183"/>
      <c r="H11" s="183"/>
      <c r="I11" s="183"/>
      <c r="J11" s="183"/>
    </row>
    <row r="12" spans="1:10" customFormat="1" x14ac:dyDescent="0.35">
      <c r="A12" t="s">
        <v>222</v>
      </c>
      <c r="B12" s="190">
        <v>2</v>
      </c>
      <c r="D12">
        <v>35</v>
      </c>
      <c r="E12">
        <v>45</v>
      </c>
      <c r="F12" s="192">
        <v>50</v>
      </c>
    </row>
    <row r="13" spans="1:10" x14ac:dyDescent="0.35">
      <c r="A13" s="182" t="s">
        <v>197</v>
      </c>
      <c r="B13" s="190">
        <v>4</v>
      </c>
      <c r="C13" s="191">
        <v>195</v>
      </c>
      <c r="D13" s="182">
        <v>340</v>
      </c>
      <c r="E13" s="182">
        <v>375</v>
      </c>
      <c r="F13" s="192">
        <v>420</v>
      </c>
      <c r="G13" s="183"/>
      <c r="H13" s="183"/>
      <c r="I13" s="183"/>
      <c r="J13" s="183"/>
    </row>
    <row r="14" spans="1:10" x14ac:dyDescent="0.35">
      <c r="A14" s="214" t="s">
        <v>243</v>
      </c>
      <c r="B14" s="190">
        <v>1</v>
      </c>
      <c r="C14" s="191"/>
      <c r="D14" s="182">
        <v>50</v>
      </c>
      <c r="E14" s="182">
        <v>70</v>
      </c>
      <c r="F14" s="192">
        <v>75</v>
      </c>
      <c r="G14" s="183"/>
      <c r="H14" s="183"/>
      <c r="I14" s="183"/>
      <c r="J14" s="183"/>
    </row>
    <row r="15" spans="1:10" x14ac:dyDescent="0.35">
      <c r="A15" s="214" t="s">
        <v>242</v>
      </c>
      <c r="B15" s="190">
        <v>3</v>
      </c>
      <c r="C15" s="191"/>
      <c r="D15" s="182">
        <v>325</v>
      </c>
      <c r="E15" s="182">
        <v>349</v>
      </c>
      <c r="F15" s="192">
        <v>390</v>
      </c>
      <c r="G15" s="183"/>
      <c r="H15" s="183"/>
      <c r="I15" s="183"/>
      <c r="J15" s="183"/>
    </row>
    <row r="16" spans="1:10" ht="15" thickBot="1" x14ac:dyDescent="0.4">
      <c r="A16" s="182" t="s">
        <v>198</v>
      </c>
      <c r="B16" s="193">
        <v>1</v>
      </c>
      <c r="C16" s="194"/>
      <c r="D16" s="195">
        <v>45</v>
      </c>
      <c r="E16" s="195">
        <v>55</v>
      </c>
      <c r="F16" s="196">
        <v>65</v>
      </c>
      <c r="G16" s="183"/>
      <c r="H16" s="183"/>
      <c r="I16" s="183"/>
      <c r="J16" s="183"/>
    </row>
    <row r="17" spans="1:10" x14ac:dyDescent="0.35">
      <c r="G17" s="183"/>
      <c r="H17" s="183"/>
      <c r="I17" s="183"/>
      <c r="J17" s="183"/>
    </row>
    <row r="18" spans="1:10" customFormat="1" ht="12.5" x14ac:dyDescent="0.25">
      <c r="A18" t="s">
        <v>225</v>
      </c>
    </row>
    <row r="19" spans="1:10" customFormat="1" ht="12.5" x14ac:dyDescent="0.25"/>
    <row r="20" spans="1:10" customFormat="1" ht="12.5" x14ac:dyDescent="0.25">
      <c r="A20" t="s">
        <v>226</v>
      </c>
    </row>
    <row r="21" spans="1:10" x14ac:dyDescent="0.35">
      <c r="G21" s="183"/>
      <c r="H21" s="183"/>
      <c r="I21" s="183"/>
      <c r="J21" s="183"/>
    </row>
  </sheetData>
  <sheetProtection algorithmName="SHA-512" hashValue="thhCMWk0AbBsMytRY5wdUz6+hkswD32FO1OeYA0aPqH7mOyXH55el8WO0ta9Ss+Pu+hOA85zfjSpJGaznoKsEw==" saltValue="+5oieOfI0dwjY8VALqtp3w==" spinCount="100000" sheet="1" objects="1" scenarios="1"/>
  <mergeCells count="2">
    <mergeCell ref="B1:B2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993</vt:lpstr>
      <vt:lpstr>964</vt:lpstr>
      <vt:lpstr>Ala Carte</vt:lpstr>
      <vt:lpstr>Powder Coat</vt:lpstr>
      <vt:lpstr>CONDITION</vt:lpstr>
      <vt:lpstr>ENGINE</vt:lpstr>
      <vt:lpstr>TRANS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Steven Timmins</dc:creator>
  <cp:lastModifiedBy>Steven Timmins</cp:lastModifiedBy>
  <cp:lastPrinted>2018-10-15T14:15:59Z</cp:lastPrinted>
  <dcterms:created xsi:type="dcterms:W3CDTF">2000-08-21T13:09:16Z</dcterms:created>
  <dcterms:modified xsi:type="dcterms:W3CDTF">2023-06-23T13:21:41Z</dcterms:modified>
</cp:coreProperties>
</file>